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2" tabRatio="601" activeTab="0"/>
  </bookViews>
  <sheets>
    <sheet name="2021-2023" sheetId="1" r:id="rId1"/>
  </sheets>
  <definedNames>
    <definedName name="_xlnm._FilterDatabase" localSheetId="0" hidden="1">'2021-2023'!$A$20:$K$159</definedName>
    <definedName name="_xlnm.Print_Titles" localSheetId="0">'2021-2023'!$18:$20</definedName>
    <definedName name="_xlnm.Print_Area" localSheetId="0">'2021-2023'!$A$1:$E$159</definedName>
  </definedNames>
  <calcPr fullCalcOnLoad="1"/>
</workbook>
</file>

<file path=xl/sharedStrings.xml><?xml version="1.0" encoding="utf-8"?>
<sst xmlns="http://schemas.openxmlformats.org/spreadsheetml/2006/main" count="234" uniqueCount="228">
  <si>
    <t>Налог на доходы  физических лиц</t>
  </si>
  <si>
    <t>НАЛОГИ НА СОВОКУПНЫЙ ДОХОД</t>
  </si>
  <si>
    <t>000 1 05 00000 00 0000 000</t>
  </si>
  <si>
    <t>000 1 11 00000 00 0000 000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</si>
  <si>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</si>
  <si>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</si>
  <si>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</si>
  <si>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ГОСУДАРСТВЕННАЯ ПОШЛИНА</t>
  </si>
  <si>
    <t xml:space="preserve">000 1 08 00000 00 0000 000  </t>
  </si>
  <si>
    <t>Плата за негативное воздействие на окружающую среду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</si>
  <si>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</si>
  <si>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</si>
  <si>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</si>
  <si>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</si>
  <si>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Коды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</si>
  <si>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</si>
  <si>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НАЛОГОВЫЕ ДОХОДЫ</t>
  </si>
  <si>
    <t>НЕНАЛОГОВЫЕ ДОХОДЫ</t>
  </si>
  <si>
    <t>НАЛОГОВЫЕ  И НЕНАЛОГОВЫЕ ДОХОДЫ</t>
  </si>
  <si>
    <t>000 1 13 00000 00 0000 000</t>
  </si>
  <si>
    <t>ДОХОДЫ ОТ ОКАЗАНИЯ ПЛАТНЫХ  УСЛУГ И КОМПЕНСАЦИИ ЗАТРАТ ГОСУДАРСТВА</t>
  </si>
  <si>
    <t>ДОХОДЫ ОТ ПРОДАЖИ МАТЕРИАЛЬНЫХ И НЕМАТЕРИАЛЬНЫХ АКТИВОВ</t>
  </si>
  <si>
    <t>Налог, взимаемый в виде стоимости патента в связи с применением упрощенной системы налогообложения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</si>
  <si>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</si>
  <si>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</si>
  <si>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Всего доходов </t>
  </si>
  <si>
    <t>000 2 00 00000 00 0000 000</t>
  </si>
  <si>
    <t>БЕЗВОЗМЕЗДНЫЕ ПОСТУПЛЕНИЯ</t>
  </si>
  <si>
    <t xml:space="preserve">Субсидии  бюджетам субъектов Российской Федерации и муниципальных образований (межбюджетные субсидии) </t>
  </si>
  <si>
    <t xml:space="preserve">Субвенции  бюджетам субъектов Российской Федерации и муниципальных образований  </t>
  </si>
  <si>
    <t>Приложение №1</t>
  </si>
  <si>
    <t xml:space="preserve">Сергиево-Посадского </t>
  </si>
  <si>
    <t>Московской области</t>
  </si>
  <si>
    <t>к решению Совета депутатов</t>
  </si>
  <si>
    <t>тыс.руб.</t>
  </si>
  <si>
    <t>000 1 01 02000 00 0000 110</t>
  </si>
  <si>
    <t>Налог на доходы физических лиц в виде фиксированных  авансовых платежей с доходов, полученных физическими лицами  являющимися иностранными гражданми , осуществляющими трудовую деятельность по найму  у физических лиц на основании патентов в соответсвиии со статьей 227.1 НК РФ</t>
  </si>
  <si>
    <t>Акцизы по подакцизным товарам (продукции), производимым на территории Российской Федерации</t>
  </si>
  <si>
    <t xml:space="preserve">  000 2 02 30000 00 0000 150</t>
  </si>
  <si>
    <t xml:space="preserve">  000 2 02 20000 00 0000 150</t>
  </si>
  <si>
    <t>Иные межбюджетные трансферты</t>
  </si>
  <si>
    <t>000 2 02 40000 00 0000 150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</si>
  <si>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</si>
  <si>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</si>
  <si>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</si>
  <si>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</si>
  <si>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000 1 17 00000 00 0000 000</t>
  </si>
  <si>
    <t>Прочие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</si>
  <si>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</si>
  <si>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</si>
  <si>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</si>
  <si>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</si>
  <si>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000 1 11 09044 04 0000 120</t>
  </si>
  <si>
    <t>Прочие доходы от оказания платных услуг (работ) получателями средств бюджетов городских округов</t>
  </si>
  <si>
    <t>929 202 25466 04 0000 150</t>
  </si>
  <si>
    <t>929 2 02 29999 04 0000 150</t>
  </si>
  <si>
    <t>929 2 02 27112 04 0000 150</t>
  </si>
  <si>
    <t>929 2 02 25497 04 0000 150</t>
  </si>
  <si>
    <t>929 202 25242 04 0000 150</t>
  </si>
  <si>
    <t>929 2 02 20216 04 0000 150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</si>
  <si>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</si>
  <si>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929 202 25169 04 0000 150</t>
  </si>
  <si>
    <t>929 2 02 25555 04 0000 150</t>
  </si>
  <si>
    <t>929 2 02 30024 04 0000 150</t>
  </si>
  <si>
    <t>929 2 02 30029 04 0000 150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</si>
  <si>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</si>
  <si>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929 2 02 39999 04 0000 150</t>
  </si>
  <si>
    <t>929 2 02 30022 04 0000 150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</si>
  <si>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</si>
  <si>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929 202 35082 04 0000 150</t>
  </si>
  <si>
    <t>929 2 02 35120 04 0000 150</t>
  </si>
  <si>
    <t>929 2 02 20302 04 0000 150</t>
  </si>
  <si>
    <t>929 2 02 49999 04 0000 150</t>
  </si>
  <si>
    <t>Прочие межбюджетные трансферты, передаваемые бюджетам городских округов</t>
  </si>
  <si>
    <t>городского округа</t>
  </si>
  <si>
    <t>ШТРАФЫ, САНКЦИИ, ВОЗМЕЩЕНИЕ УЩЕРБА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</si>
  <si>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</si>
  <si>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</si>
  <si>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000 2 02 15001 04 0000 150</t>
  </si>
  <si>
    <t>Дотации бюджетам городских округов на выравнивание бюджетной обеспеченности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</si>
  <si>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</si>
  <si>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182 1 01 02000 01 0000 110</t>
  </si>
  <si>
    <t>182 101 02040 01 0000 110</t>
  </si>
  <si>
    <t>100 1 03 02000 01 0000 110</t>
  </si>
  <si>
    <t>182 1 05 01000 00 0000 110</t>
  </si>
  <si>
    <t>182 105 04020 02 0000 110</t>
  </si>
  <si>
    <t>182 1 06 01000 00 0000 110</t>
  </si>
  <si>
    <t>182 1 06 06000 00 0000 110</t>
  </si>
  <si>
    <t>182  108 03010 01 0000 110</t>
  </si>
  <si>
    <t>929  108 07150 01 0000 110</t>
  </si>
  <si>
    <t>929 1 11 05012 04 0000 120</t>
  </si>
  <si>
    <t>929 1 11 05024 04 0000 120</t>
  </si>
  <si>
    <t>929 1 11 05074 04 0000 120</t>
  </si>
  <si>
    <t>048 1 12 01000 01 0000 120</t>
  </si>
  <si>
    <t>929 1 13 01994 04 0000 130</t>
  </si>
  <si>
    <t>929 1 14 02043 04 0000 410</t>
  </si>
  <si>
    <t>929 1 14 06012 04 0000 430</t>
  </si>
  <si>
    <t>929 1 14 06312 04 0000 430</t>
  </si>
  <si>
    <t xml:space="preserve">929 1 16 00000 00 0000 000 </t>
  </si>
  <si>
    <t>Прочие неналоговые доходы бюджетов городских округов</t>
  </si>
  <si>
    <t>929 1 17 05040 04 0000 180</t>
  </si>
  <si>
    <t>Налог, взимаемый в связи с применением упрощенной системы налогообложения</t>
  </si>
  <si>
    <t>Плановый период</t>
  </si>
  <si>
    <t>2022 год</t>
  </si>
  <si>
    <t xml:space="preserve"> 929 202 25210 04 0000 150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</si>
  <si>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</si>
  <si>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929 2 02 35135 04 0000 150</t>
  </si>
  <si>
    <t>2023 год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</si>
  <si>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</si>
  <si>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929 2 02 25304 04 0000 150</t>
  </si>
  <si>
    <t>929 2 02 25519 04 0000 150</t>
  </si>
  <si>
    <t>Субсидия бюджетам городских округов на поддержку отрасли культуры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</si>
  <si>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</si>
  <si>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929 2 02 25027 04 0000 150</t>
  </si>
  <si>
    <t>Субсидии бюджетам муниципальных образований Московской области на проведение капитального ремонта, технического переоснащения и благоустройство территории объектов культуры, находящихся в собственности муниципальных образований Московской области</t>
  </si>
  <si>
    <t xml:space="preserve">Субсидии бюджетам муниципальных образований Московской области на мероприятия по проведению капитального ремонта в муниципальных дошкольных образовательных организациях Московской области </t>
  </si>
  <si>
    <t>Субсидии бюджетам муниципальных образований Московской области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</si>
  <si>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Субсидии бюджетам муниципальных образований Московской области на мероприятия по организации отдыха детей в каникулярное время </t>
  </si>
  <si>
    <t xml:space="preserve">Субсидии бюджетам муниципальных образований Московской области на реализацию мероприятий по улучшению жилищных условий многодетных семей </t>
  </si>
  <si>
    <t xml:space="preserve">Субсидии бюджетам муниципальных образований Московской области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</t>
  </si>
  <si>
    <t>Субсидии бюджетам муниципальных образований Московской области на оснащение планшетными компьютерами общеобразовательных организаций в Московской области</t>
  </si>
  <si>
    <t>Субсидии бюджетам муниципальных образований Московской области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</si>
  <si>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Субсидии бюджетам муниципальных образований Московской области на мероприятия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</t>
  </si>
  <si>
    <t>Субсидии бюджетам муниципальных образований Московской области   на ремонт подъездов в многоквартирных домах</t>
  </si>
  <si>
    <t>Субсидии бюджетам муниципальных образований Московской области на 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</si>
  <si>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Субвенции бюджетам муниципальных образований Московской области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</si>
  <si>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</si>
  <si>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Прочие субвенции бюджетам городских округов, в том числе:</t>
  </si>
  <si>
    <r>
  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бюджетов,</t>
    </r>
    <r>
      <rPr>
        <i/>
        <sz val="12"/>
        <rFont val="Times New Roman"/>
        <family val="1"/>
      </rPr>
      <t xml:space="preserve"> в том числе:</t>
    </r>
  </si>
  <si>
    <t>Субсидии бюджетам муниципальных образований Московской области  на реализацию программ формирования современной городской среды в части благоустройства общественных территорий</t>
  </si>
  <si>
    <t xml:space="preserve">Субсидии бюджетам муниципальных образований Московской области на строительство (реконструкцию) канализационных коллекторов, канализационных насосных станций </t>
  </si>
  <si>
    <t>Субсидии бюджетам муниципальных образований Московской области на проектирование и строительство дошкольных образовательных организаций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</si>
  <si>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</t>
  </si>
  <si>
    <r>
      <t xml:space="preserve">Субсидии бюджетам городских округов на софинансирование капитальных вложений в объекты муниципальной собственности, </t>
    </r>
    <r>
      <rPr>
        <i/>
        <sz val="12"/>
        <rFont val="Times New Roman"/>
        <family val="1"/>
      </rPr>
      <t>в том числе:</t>
    </r>
    <r>
      <rPr>
        <sz val="12"/>
        <rFont val="Times New Roman"/>
        <family val="1"/>
      </rPr>
      <t xml:space="preserve">
</t>
    </r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</si>
  <si>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</si>
  <si>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реализацию мер социальной поддержки и социального обеспечения детей-сирот и детей, оставшихся без попечения родителей, лиц из их числа в муниципальных и частных организациях в Московской области для детей-сирот и детей, оставшихся без попечения родителей</t>
  </si>
  <si>
    <t>Субвенции бюджетам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</si>
  <si>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Субвенции из бюджета Московской области бюджетам муниципальных образований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</si>
  <si>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</si>
  <si>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</si>
  <si>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образований Московской области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</si>
  <si>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Субвенции бюджетам муниципальных районов и городских округов Московской области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</si>
  <si>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</si>
  <si>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
осуществления государственных полномочий Московской области в области земельных отношений</t>
  </si>
  <si>
    <t>Субсидии бюджетам муниципальных образований Московской области на строительство и реконструкцию объектов очистки сточных вод</t>
  </si>
  <si>
    <t>Субсидии бюджетам муниципальных образований Московской области на ремонт дворовых территорий</t>
  </si>
  <si>
    <t>обустройство и установку детских игровых площадок на территории муниципальных образований Московской области</t>
  </si>
  <si>
    <t>Субсидии бюджетам муниципальных образований Московской области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</si>
  <si>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Субсидии бюджетам городских округов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</si>
  <si>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 929 202 25208 04 0000 150</t>
  </si>
  <si>
    <t>Субсидии бюджетам городских округов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</si>
  <si>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r>
  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организациях,</t>
    </r>
    <r>
      <rPr>
        <i/>
        <sz val="12"/>
        <rFont val="Times New Roman"/>
        <family val="1"/>
      </rPr>
      <t xml:space="preserve"> в том числе:</t>
    </r>
  </si>
  <si>
    <t>Субсидия на софинансирование работ по строительству (реконструкции) объектов дорожного хозяйства местного значения</t>
  </si>
  <si>
    <t>Дооснащение материально-техническими средствами - приобретение программно-технических комплексов для оформления паспортов гражданина РФ, удостоверяющих личность гражданина РФ за пределами территории РФ в многофункциональных центрах предоставления государственных и муниципальных услуг, а также их техническая поддержка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</si>
  <si>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огородничнских обьединений граждан</t>
  </si>
  <si>
    <t>Инициативные платежи, зачисляемые в бюджеты городских округов</t>
  </si>
  <si>
    <t>929 1 17 15020 04 0000 150</t>
  </si>
  <si>
    <t>Установка, монтаж и настройка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</si>
  <si>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2024 год</t>
  </si>
  <si>
    <t>Поступление доходов в бюджет Сергиево-Посадского городского округа Московской области 
на 2022 год и на плановый период 2023 и 2024 годов</t>
  </si>
  <si>
    <t>Субсидия на оснащение отремонтированных зданий общеобразовательных организаций средствами обучения и воспитания</t>
  </si>
  <si>
    <t>Субсидия на проведение работ по капитальному ремонту зданий региональных (муниципальных) общеобразовательных организаций</t>
  </si>
  <si>
    <t>Субсидия на приобретение музыкальных инструментов для муниципальных организаций дополнительного образования в сфере культуры</t>
  </si>
  <si>
    <t xml:space="preserve">Субсидия на капитальный ремонт, приобретение, монтаж и ввод в эксплуатацию объектов водоснабжения </t>
  </si>
  <si>
    <t>Субсидии бюджетам муниципальных образований Московской области на реализацию мероприятий по обеспечению устойчивого сокращения непригодного для проживания жилищного фонда Подпрограмма 1</t>
  </si>
  <si>
    <t>Субсидии бюджетам муниципальных образований Московской области на реализацию мероприятий по обеспечению устойчивого сокращения непригодного для проживания жилищного фонда Подпрограмма 2</t>
  </si>
  <si>
    <t>Субсидии бюджетам муниципальных образований Московской области на устройство и капитальный ремонт  систем наружного освещения в рамках реализации проекта «Светлый город»</t>
  </si>
  <si>
    <t>Субсидия на реализацию мероприятий по благоустройству территорий, прилегающих к железнодорожным станциям</t>
  </si>
  <si>
    <t>Субсидия на благоустройство лесопарковых зон</t>
  </si>
  <si>
    <t>Субсидия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</si>
  <si>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Субсидия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</si>
  <si>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Субсидия на обеспечение образовательных организаций материально-технической базой для внедрения цифровой образовательной среды</t>
  </si>
  <si>
    <t>Субвенция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</si>
  <si>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</si>
  <si>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929 2 02 45454 04 0000 150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</si>
  <si>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</si>
  <si>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</si>
  <si>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</si>
  <si>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929 2 02 35134 04 0000 150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</si>
  <si>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1941 - 1945 годов»</t>
  </si>
  <si>
    <t xml:space="preserve">Субсидия 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</t>
  </si>
  <si>
    <t>Субсидия  на устройство контейнерных площадок</t>
  </si>
  <si>
    <t xml:space="preserve">Субсидия на подготовку основания, приобретение и установку плоскостных спортивных сооружений </t>
  </si>
  <si>
    <t>от 23.12.2021 № 46/02-МЗ</t>
  </si>
  <si>
    <t xml:space="preserve">182 1 05 02000 02 0000 110 </t>
  </si>
  <si>
    <t>Единый налог на вмененный доход для отдельных видов деятельности</t>
  </si>
  <si>
    <t xml:space="preserve">000 1 05 03000 01 0000 110 </t>
  </si>
  <si>
    <t>Единый сельскохозяйственный  налог</t>
  </si>
  <si>
    <t>929 1 11 09080 04 0000 120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</si>
  <si>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</si>
  <si>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929 1 13 02994 00 0000 130</t>
  </si>
  <si>
    <t>Прочие доходы от компенсации затрат бюджетов городских округов</t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</si>
  <si>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</t>
    </r>
    <r>
      <rPr>
        <b/>
        <i/>
        <sz val="12"/>
        <rFont val="Times New Roman"/>
        <family val="1"/>
      </rPr>
      <t>Плата, поступившая в рамках договора за предоставление права на размещение и эксплуатацию нестационарного торгового объекта</t>
    </r>
    <r>
      <rPr>
        <i/>
        <sz val="12"/>
        <rFont val="Times New Roman"/>
        <family val="1"/>
      </rPr>
      <t>)</t>
    </r>
  </si>
  <si>
    <r>
  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</t>
    </r>
    <r>
      <rPr>
        <b/>
        <i/>
        <sz val="12"/>
        <rFont val="Times New Roman"/>
        <family val="1"/>
      </rPr>
      <t>установка и эксплуатацию рекламных конструкций</t>
    </r>
    <r>
      <rPr>
        <i/>
        <sz val="12"/>
        <rFont val="Times New Roman"/>
        <family val="1"/>
      </rPr>
      <t>)</t>
    </r>
  </si>
  <si>
    <t>929 1 11 09080 04 0001 120</t>
  </si>
  <si>
    <t>9291 11 09080 04 0002 120</t>
  </si>
  <si>
    <t>929 2 18 04010 04 0000 150</t>
  </si>
  <si>
    <t>Доходы бюджетов городских округов от возврата бюджетными учреждениями остатков субсидий прошлых лет</t>
  </si>
  <si>
    <t>929 2 19 60010 04 0000 150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</si>
  <si>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</si>
  <si>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</si>
  <si>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929 1 11 05 312 04 0000 120</t>
  </si>
  <si>
    <t>Субсидия бюджетам городских округов на государственную поддержку отрасли культуры (модернизация библиотек в части комплектования книжных флндов мунициипальных общедоступных библиотек и государственной общедоступной библиотеки)</t>
  </si>
  <si>
    <t>ямочный ремонт асфальтового покрытия дворовых территорий</t>
  </si>
  <si>
    <t>929 2 02 25750 04 0000 150</t>
  </si>
  <si>
    <t>Субсидии бюджетам городских округов на реализацию мероприятий по модернизации школьных систем образования</t>
  </si>
  <si>
    <t>929 2 02 35303 04 0000 150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</si>
  <si>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</si>
  <si>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929 207 04020 04 0000 150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</si>
  <si>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</si>
  <si>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Обеспечение мероприятий по переселению граждан из аварийного жилищного фонда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</si>
  <si>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</si>
  <si>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929 2 02 45519 04 0000 150</t>
  </si>
  <si>
    <t>Межбюджетные трансферты, передаваемые бюджетам городских округов на поддержку отрасли культуры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</si>
  <si>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</si>
  <si>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Реализация проектов граждан, сформированных в рамках практик инициативного бюджетирования</t>
  </si>
  <si>
    <t>Реализация мероприятий по благоустройству территорий муниципальных образовательных организаций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</si>
  <si>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</si>
  <si>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</si>
  <si>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</si>
  <si>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городских округов на реализацию мероприятий по обеспечению жильем молодых семей\</t>
  </si>
  <si>
    <r>
      <t xml:space="preserve">Субсидии бюджетам городских округов на реализацию программ формирования современной городской среды, </t>
    </r>
    <r>
      <rPr>
        <i/>
        <sz val="12"/>
        <rFont val="Times New Roman"/>
        <family val="1"/>
      </rPr>
      <t>в том числе:</t>
    </r>
  </si>
  <si>
    <r>
      <t xml:space="preserve">Прочие субсидии бюджетам городских округов, </t>
    </r>
    <r>
      <rPr>
        <sz val="12"/>
        <rFont val="Times New Roman"/>
        <family val="1"/>
      </rPr>
      <t>в том числе</t>
    </r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</si>
  <si>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</si>
  <si>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</si>
  <si>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</si>
  <si>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Материально-техническое обеспечение муниципальных общеобразовательных организаций в Московской области в  целях организаций в Московской области в целях организации автоматизированной системы учета предоставления питания обучающимся</t>
  </si>
  <si>
    <t>от 23.09.2022 №56/02-МЗ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</si>
</sst>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_)"/>
    <numFmt numFmtId="179" formatCode="#,##0.000"/>
    <numFmt numFmtId="180" formatCode="#,##0_р_."/>
    <numFmt numFmtId="181" formatCode="#,##0.00\ &quot;₽&quot;"/>
    <numFmt numFmtId="182" formatCode="0.000"/>
    <numFmt numFmtId="183" formatCode="#,##0.00000"/>
    <numFmt numFmtId="184" formatCode="#,##0.0000"/>
    <numFmt numFmtId="185" formatCode="_-* #,##0.00000\ &quot;₽&quot;_-;\-* #,##0.00000\ &quot;₽&quot;_-;_-* &quot;-&quot;?????\ &quot;₽&quot;_-;_-@_-"/>
    <numFmt numFmtId="186" formatCode="0.0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Courier"/>
      <family val="3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11"/>
      <color theme="1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8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4" fontId="5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justify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7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justify" vertical="center"/>
    </xf>
    <xf numFmtId="0" fontId="7" fillId="0" borderId="10" xfId="0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4" fontId="5" fillId="0" borderId="0" xfId="0" applyNumberFormat="1" applyFont="1" applyFill="1" applyAlignment="1">
      <alignment horizontal="left"/>
    </xf>
    <xf numFmtId="4" fontId="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82" fontId="5" fillId="0" borderId="0" xfId="0" applyNumberFormat="1" applyFont="1" applyAlignment="1">
      <alignment horizontal="left"/>
    </xf>
    <xf numFmtId="183" fontId="5" fillId="0" borderId="0" xfId="0" applyNumberFormat="1" applyFont="1" applyAlignment="1">
      <alignment horizontal="left"/>
    </xf>
    <xf numFmtId="3" fontId="5" fillId="0" borderId="10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 indent="15"/>
    </xf>
    <xf numFmtId="2" fontId="5" fillId="0" borderId="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horizontal="center" vertical="center" wrapText="1"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5" fillId="35" borderId="10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Border="1" applyAlignment="1">
      <alignment horizontal="center" vertical="center"/>
    </xf>
    <xf numFmtId="172" fontId="5" fillId="35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0" fontId="7" fillId="0" borderId="10" xfId="0" applyFont="1" applyBorder="1" applyAlignment="1">
      <alignment wrapText="1"/>
    </xf>
    <xf numFmtId="17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2" fontId="7" fillId="0" borderId="10" xfId="0" applyNumberFormat="1" applyFont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 wrapText="1"/>
    </xf>
    <xf numFmtId="185" fontId="5" fillId="0" borderId="0" xfId="0" applyNumberFormat="1" applyFont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183" fontId="5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72" fontId="4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183" fontId="5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1"/>
  <sheetViews>
    <sheetView tabSelected="1" view="pageBreakPreview" zoomScale="75" zoomScaleNormal="75" zoomScaleSheetLayoutView="75" workbookViewId="0" topLeftCell="A1">
      <selection activeCell="G11" sqref="G11"/>
    </sheetView>
  </sheetViews>
  <sheetFormatPr defaultColWidth="9.125" defaultRowHeight="12.75"/>
  <cols>
    <col min="1" max="1" width="32.50390625" style="6" customWidth="1"/>
    <col min="2" max="2" width="65.00390625" style="1" customWidth="1"/>
    <col min="3" max="5" width="21.50390625" style="61" customWidth="1"/>
    <col min="6" max="8" width="20.50390625" style="1" customWidth="1"/>
    <col min="9" max="9" width="24.625" style="1" customWidth="1"/>
    <col min="10" max="16384" width="9.125" style="1" customWidth="1"/>
  </cols>
  <sheetData>
    <row r="1" ht="15">
      <c r="D1" s="62" t="s">
        <v>30</v>
      </c>
    </row>
    <row r="2" ht="15">
      <c r="D2" s="62" t="s">
        <v>33</v>
      </c>
    </row>
    <row r="3" ht="15">
      <c r="D3" s="62" t="s">
        <v>31</v>
      </c>
    </row>
    <row r="4" ht="15">
      <c r="D4" s="62" t="s">
        <v>74</v>
      </c>
    </row>
    <row r="5" ht="15">
      <c r="D5" s="62" t="s">
        <v>32</v>
      </c>
    </row>
    <row r="6" ht="15">
      <c r="D6" s="61" t="s">
        <v>227</v>
      </c>
    </row>
    <row r="8" ht="15">
      <c r="D8" s="62" t="s">
        <v>30</v>
      </c>
    </row>
    <row r="9" ht="15">
      <c r="D9" s="62" t="s">
        <v>33</v>
      </c>
    </row>
    <row r="10" ht="15">
      <c r="D10" s="62" t="s">
        <v>31</v>
      </c>
    </row>
    <row r="11" ht="15">
      <c r="D11" s="62" t="s">
        <v>74</v>
      </c>
    </row>
    <row r="12" ht="15">
      <c r="D12" s="62" t="s">
        <v>32</v>
      </c>
    </row>
    <row r="13" ht="15">
      <c r="D13" s="61" t="s">
        <v>183</v>
      </c>
    </row>
    <row r="14" spans="1:3" ht="13.5" customHeight="1">
      <c r="A14" s="2"/>
      <c r="B14" s="8"/>
      <c r="C14" s="63"/>
    </row>
    <row r="15" spans="1:5" ht="37.5" customHeight="1">
      <c r="A15" s="96" t="s">
        <v>159</v>
      </c>
      <c r="B15" s="96"/>
      <c r="C15" s="96"/>
      <c r="D15" s="96"/>
      <c r="E15" s="96"/>
    </row>
    <row r="16" spans="1:5" s="41" customFormat="1" ht="10.5" customHeight="1">
      <c r="A16" s="77"/>
      <c r="B16" s="77"/>
      <c r="C16" s="78"/>
      <c r="D16" s="78"/>
      <c r="E16" s="78"/>
    </row>
    <row r="17" spans="2:5" ht="17.25" customHeight="1">
      <c r="B17" s="4"/>
      <c r="C17" s="64"/>
      <c r="E17" s="64" t="s">
        <v>34</v>
      </c>
    </row>
    <row r="18" spans="1:5" ht="28.5" customHeight="1">
      <c r="A18" s="99" t="s">
        <v>14</v>
      </c>
      <c r="B18" s="99" t="s">
        <v>13</v>
      </c>
      <c r="C18" s="100" t="s">
        <v>103</v>
      </c>
      <c r="D18" s="97" t="s">
        <v>102</v>
      </c>
      <c r="E18" s="97"/>
    </row>
    <row r="19" spans="1:5" s="3" customFormat="1" ht="22.5" customHeight="1">
      <c r="A19" s="99"/>
      <c r="B19" s="99"/>
      <c r="C19" s="100"/>
      <c r="D19" s="65" t="s">
        <v>107</v>
      </c>
      <c r="E19" s="65" t="s">
        <v>158</v>
      </c>
    </row>
    <row r="20" spans="1:5" s="3" customFormat="1" ht="18" customHeight="1">
      <c r="A20" s="12">
        <v>1</v>
      </c>
      <c r="B20" s="12">
        <v>2</v>
      </c>
      <c r="C20" s="66">
        <v>3</v>
      </c>
      <c r="D20" s="67">
        <v>4</v>
      </c>
      <c r="E20" s="67">
        <v>5</v>
      </c>
    </row>
    <row r="21" spans="1:5" s="3" customFormat="1" ht="42" customHeight="1">
      <c r="A21" s="12"/>
      <c r="B21" s="14" t="s">
        <v>18</v>
      </c>
      <c r="C21" s="68">
        <f>C22+C39</f>
        <v>6096912.413092052</v>
      </c>
      <c r="D21" s="68">
        <f>D22+D39</f>
        <v>6009847.72036436</v>
      </c>
      <c r="E21" s="68">
        <f>E22+E39</f>
        <v>5839794.500769231</v>
      </c>
    </row>
    <row r="22" spans="1:5" s="3" customFormat="1" ht="33" customHeight="1">
      <c r="A22" s="12" t="s">
        <v>5</v>
      </c>
      <c r="B22" s="14" t="s">
        <v>16</v>
      </c>
      <c r="C22" s="68">
        <f>C23+C27+C28+C36+C33</f>
        <v>5356746.588442052</v>
      </c>
      <c r="D22" s="68">
        <f>D23+D27+D28+D36+D33</f>
        <v>5564250.03036436</v>
      </c>
      <c r="E22" s="68">
        <f>E23+E27+E28+E36+E33</f>
        <v>5390039.030769231</v>
      </c>
    </row>
    <row r="23" spans="1:5" ht="33" customHeight="1">
      <c r="A23" s="15" t="s">
        <v>35</v>
      </c>
      <c r="B23" s="14" t="s">
        <v>0</v>
      </c>
      <c r="C23" s="68">
        <f>C24+C25+C26</f>
        <v>3766285.5884420513</v>
      </c>
      <c r="D23" s="68">
        <f>D24+D25+D26</f>
        <v>3821600.0303643597</v>
      </c>
      <c r="E23" s="68">
        <f>E24+E25+E26</f>
        <v>3434385.030769231</v>
      </c>
    </row>
    <row r="24" spans="1:7" ht="33" customHeight="1">
      <c r="A24" s="16" t="s">
        <v>81</v>
      </c>
      <c r="B24" s="17" t="s">
        <v>0</v>
      </c>
      <c r="C24" s="92">
        <f>903794/15*(15+41.6)+118589.6662-0.08904</f>
        <v>3528905.6038266667</v>
      </c>
      <c r="D24" s="69">
        <f>954410/15*(15+36.5)+320197.07139</f>
        <v>3597004.738056667</v>
      </c>
      <c r="E24" s="69">
        <f>1020270/15*(15+32.3)</f>
        <v>3217251.4</v>
      </c>
      <c r="F24" s="51"/>
      <c r="G24" s="9"/>
    </row>
    <row r="25" spans="1:7" ht="78.75" customHeight="1">
      <c r="A25" s="16" t="s">
        <v>82</v>
      </c>
      <c r="B25" s="17" t="s">
        <v>36</v>
      </c>
      <c r="C25" s="69">
        <v>102469.8</v>
      </c>
      <c r="D25" s="70">
        <v>94847.6</v>
      </c>
      <c r="E25" s="70">
        <v>89865.9</v>
      </c>
      <c r="F25" s="51"/>
      <c r="G25" s="9"/>
    </row>
    <row r="26" spans="1:8" ht="120" customHeight="1">
      <c r="A26" s="16" t="s">
        <v>177</v>
      </c>
      <c r="B26" s="60" t="s">
        <v>176</v>
      </c>
      <c r="C26" s="69">
        <f>35647/13*(13+36.2)</f>
        <v>134910.1846153846</v>
      </c>
      <c r="D26" s="69">
        <f>37650/13*(13+31.8)</f>
        <v>129747.6923076923</v>
      </c>
      <c r="E26" s="69">
        <f>40255/13*(13+28.1)</f>
        <v>127267.73076923077</v>
      </c>
      <c r="F26" s="55"/>
      <c r="G26" s="56"/>
      <c r="H26" s="5"/>
    </row>
    <row r="27" spans="1:5" ht="53.25" customHeight="1">
      <c r="A27" s="15" t="s">
        <v>83</v>
      </c>
      <c r="B27" s="14" t="s">
        <v>37</v>
      </c>
      <c r="C27" s="71">
        <v>82556</v>
      </c>
      <c r="D27" s="71">
        <f>36081+202+48834-4471</f>
        <v>80646</v>
      </c>
      <c r="E27" s="71">
        <v>85324</v>
      </c>
    </row>
    <row r="28" spans="1:5" ht="28.5" customHeight="1">
      <c r="A28" s="15" t="s">
        <v>2</v>
      </c>
      <c r="B28" s="14" t="s">
        <v>1</v>
      </c>
      <c r="C28" s="72">
        <f>C29+C32+C30+C31</f>
        <v>853817</v>
      </c>
      <c r="D28" s="72">
        <f>D29+D32</f>
        <v>997447</v>
      </c>
      <c r="E28" s="72">
        <f>E29+E32</f>
        <v>1194790</v>
      </c>
    </row>
    <row r="29" spans="1:6" ht="42" customHeight="1">
      <c r="A29" s="18" t="s">
        <v>84</v>
      </c>
      <c r="B29" s="17" t="s">
        <v>101</v>
      </c>
      <c r="C29" s="73">
        <f>736732+10000</f>
        <v>746732</v>
      </c>
      <c r="D29" s="74">
        <v>884977</v>
      </c>
      <c r="E29" s="74">
        <f>1072874</f>
        <v>1072874</v>
      </c>
      <c r="F29" s="51"/>
    </row>
    <row r="30" spans="1:6" ht="42" customHeight="1">
      <c r="A30" s="18" t="s">
        <v>184</v>
      </c>
      <c r="B30" s="17" t="s">
        <v>185</v>
      </c>
      <c r="C30" s="73">
        <v>140.6</v>
      </c>
      <c r="D30" s="74">
        <v>0</v>
      </c>
      <c r="E30" s="74">
        <v>0</v>
      </c>
      <c r="F30" s="51"/>
    </row>
    <row r="31" spans="1:6" ht="42" customHeight="1">
      <c r="A31" s="18" t="s">
        <v>186</v>
      </c>
      <c r="B31" s="17" t="s">
        <v>187</v>
      </c>
      <c r="C31" s="73">
        <f>30.4+1000</f>
        <v>1030.4</v>
      </c>
      <c r="D31" s="74">
        <v>0</v>
      </c>
      <c r="E31" s="74">
        <v>0</v>
      </c>
      <c r="F31" s="51"/>
    </row>
    <row r="32" spans="1:6" ht="60" customHeight="1">
      <c r="A32" s="19" t="s">
        <v>85</v>
      </c>
      <c r="B32" s="17" t="s">
        <v>22</v>
      </c>
      <c r="C32" s="73">
        <f>103914+2000</f>
        <v>105914</v>
      </c>
      <c r="D32" s="75">
        <v>112470</v>
      </c>
      <c r="E32" s="75">
        <v>121916</v>
      </c>
      <c r="F32" s="51"/>
    </row>
    <row r="33" spans="1:5" ht="32.25" customHeight="1">
      <c r="A33" s="20" t="s">
        <v>42</v>
      </c>
      <c r="B33" s="14" t="s">
        <v>43</v>
      </c>
      <c r="C33" s="72">
        <f>C34+C35</f>
        <v>608554</v>
      </c>
      <c r="D33" s="72">
        <f>D34+D35</f>
        <v>617206</v>
      </c>
      <c r="E33" s="72">
        <f>E34+E35</f>
        <v>626299</v>
      </c>
    </row>
    <row r="34" spans="1:5" ht="31.5" customHeight="1">
      <c r="A34" s="19" t="s">
        <v>86</v>
      </c>
      <c r="B34" s="17" t="s">
        <v>44</v>
      </c>
      <c r="C34" s="73">
        <v>169647</v>
      </c>
      <c r="D34" s="75">
        <v>178299</v>
      </c>
      <c r="E34" s="75">
        <v>187392</v>
      </c>
    </row>
    <row r="35" spans="1:6" ht="38.25" customHeight="1">
      <c r="A35" s="19" t="s">
        <v>87</v>
      </c>
      <c r="B35" s="17" t="s">
        <v>45</v>
      </c>
      <c r="C35" s="73">
        <f>474993-36086</f>
        <v>438907</v>
      </c>
      <c r="D35" s="75">
        <f>474993-36086</f>
        <v>438907</v>
      </c>
      <c r="E35" s="75">
        <f>474993-36086</f>
        <v>438907</v>
      </c>
      <c r="F35" s="51"/>
    </row>
    <row r="36" spans="1:5" ht="33" customHeight="1">
      <c r="A36" s="15" t="s">
        <v>8</v>
      </c>
      <c r="B36" s="14" t="s">
        <v>7</v>
      </c>
      <c r="C36" s="72">
        <f>C37+C38</f>
        <v>45534</v>
      </c>
      <c r="D36" s="72">
        <f>D37+D38</f>
        <v>47351</v>
      </c>
      <c r="E36" s="72">
        <f>E37+E38</f>
        <v>49241</v>
      </c>
    </row>
    <row r="37" spans="1:5" ht="79.5" customHeight="1">
      <c r="A37" s="16" t="s">
        <v>88</v>
      </c>
      <c r="B37" s="17" t="s">
        <v>15</v>
      </c>
      <c r="C37" s="73">
        <v>45434</v>
      </c>
      <c r="D37" s="75">
        <v>47251</v>
      </c>
      <c r="E37" s="75">
        <v>49141</v>
      </c>
    </row>
    <row r="38" spans="1:5" ht="48.75" customHeight="1">
      <c r="A38" s="16" t="s">
        <v>89</v>
      </c>
      <c r="B38" s="17" t="s">
        <v>10</v>
      </c>
      <c r="C38" s="73">
        <v>100</v>
      </c>
      <c r="D38" s="75">
        <v>100</v>
      </c>
      <c r="E38" s="75">
        <v>100</v>
      </c>
    </row>
    <row r="39" spans="1:5" ht="32.25" customHeight="1">
      <c r="A39" s="16"/>
      <c r="B39" s="14" t="s">
        <v>17</v>
      </c>
      <c r="C39" s="72">
        <f>C40+C49+C51+C54+C58+C59</f>
        <v>740165.82465</v>
      </c>
      <c r="D39" s="72">
        <f>D40+D49+D51+D54+D58+D59</f>
        <v>445597.69</v>
      </c>
      <c r="E39" s="72">
        <f>E40+E49+E51+E54+E58+E59</f>
        <v>449755.47</v>
      </c>
    </row>
    <row r="40" spans="1:5" ht="78" customHeight="1">
      <c r="A40" s="15" t="s">
        <v>3</v>
      </c>
      <c r="B40" s="14" t="s">
        <v>4</v>
      </c>
      <c r="C40" s="71">
        <f>C41+C43+C45+C42+C44+C46</f>
        <v>440477.45699999994</v>
      </c>
      <c r="D40" s="71">
        <f>D41+D43+D45+D42</f>
        <v>415201.69</v>
      </c>
      <c r="E40" s="71">
        <f>E41+E43+E45+E42</f>
        <v>419135.47</v>
      </c>
    </row>
    <row r="41" spans="1:6" ht="93" customHeight="1">
      <c r="A41" s="21" t="s">
        <v>90</v>
      </c>
      <c r="B41" s="22" t="s">
        <v>48</v>
      </c>
      <c r="C41" s="73">
        <f>352955+12000-18689.9</f>
        <v>346265.1</v>
      </c>
      <c r="D41" s="75">
        <v>352955</v>
      </c>
      <c r="E41" s="75">
        <v>352955</v>
      </c>
      <c r="F41" s="57"/>
    </row>
    <row r="42" spans="1:6" ht="78" customHeight="1">
      <c r="A42" s="18" t="s">
        <v>91</v>
      </c>
      <c r="B42" s="23" t="s">
        <v>49</v>
      </c>
      <c r="C42" s="73">
        <f>1000+1175.1</f>
        <v>2175.1</v>
      </c>
      <c r="D42" s="75">
        <v>500</v>
      </c>
      <c r="E42" s="75">
        <v>500</v>
      </c>
      <c r="F42" s="9"/>
    </row>
    <row r="43" spans="1:8" s="10" customFormat="1" ht="59.25" customHeight="1">
      <c r="A43" s="24" t="s">
        <v>92</v>
      </c>
      <c r="B43" s="25" t="s">
        <v>50</v>
      </c>
      <c r="C43" s="73">
        <v>24679</v>
      </c>
      <c r="D43" s="73">
        <v>25666</v>
      </c>
      <c r="E43" s="73">
        <v>26693</v>
      </c>
      <c r="F43" s="41"/>
      <c r="G43" s="41"/>
      <c r="H43" s="41"/>
    </row>
    <row r="44" spans="1:8" s="10" customFormat="1" ht="109.5" customHeight="1">
      <c r="A44" s="24" t="s">
        <v>201</v>
      </c>
      <c r="B44" s="25" t="s">
        <v>200</v>
      </c>
      <c r="C44" s="73">
        <v>172.6</v>
      </c>
      <c r="D44" s="73">
        <v>0</v>
      </c>
      <c r="E44" s="73">
        <v>0</v>
      </c>
      <c r="F44" s="41"/>
      <c r="G44" s="41"/>
      <c r="H44" s="41"/>
    </row>
    <row r="45" spans="1:8" s="10" customFormat="1" ht="99.75" customHeight="1">
      <c r="A45" s="26" t="s">
        <v>52</v>
      </c>
      <c r="B45" s="27" t="s">
        <v>51</v>
      </c>
      <c r="C45" s="73">
        <f>12012.557+4500+36173.1</f>
        <v>52685.657</v>
      </c>
      <c r="D45" s="73">
        <f>4500+31580.69</f>
        <v>36080.69</v>
      </c>
      <c r="E45" s="73">
        <f>4500+34487.47</f>
        <v>38987.47</v>
      </c>
      <c r="F45" s="41"/>
      <c r="G45" s="41"/>
      <c r="H45" s="41"/>
    </row>
    <row r="46" spans="1:8" s="10" customFormat="1" ht="111.75" customHeight="1">
      <c r="A46" s="26" t="s">
        <v>188</v>
      </c>
      <c r="B46" s="27" t="s">
        <v>189</v>
      </c>
      <c r="C46" s="73">
        <v>14500</v>
      </c>
      <c r="D46" s="73">
        <v>0</v>
      </c>
      <c r="E46" s="73">
        <v>0</v>
      </c>
      <c r="F46" s="41"/>
      <c r="G46" s="41"/>
      <c r="H46" s="41"/>
    </row>
    <row r="47" spans="1:8" s="10" customFormat="1" ht="154.5" customHeight="1">
      <c r="A47" s="82" t="s">
        <v>194</v>
      </c>
      <c r="B47" s="79" t="s">
        <v>192</v>
      </c>
      <c r="C47" s="80">
        <v>4500</v>
      </c>
      <c r="D47" s="80">
        <v>0</v>
      </c>
      <c r="E47" s="80">
        <v>0</v>
      </c>
      <c r="F47" s="41"/>
      <c r="G47" s="41"/>
      <c r="H47" s="41"/>
    </row>
    <row r="48" spans="1:8" s="10" customFormat="1" ht="129.75" customHeight="1">
      <c r="A48" s="82" t="s">
        <v>195</v>
      </c>
      <c r="B48" s="81" t="s">
        <v>193</v>
      </c>
      <c r="C48" s="80">
        <v>10000</v>
      </c>
      <c r="D48" s="80">
        <v>0</v>
      </c>
      <c r="E48" s="80">
        <v>0</v>
      </c>
      <c r="F48" s="41"/>
      <c r="G48" s="41"/>
      <c r="H48" s="41"/>
    </row>
    <row r="49" spans="1:5" ht="49.5" customHeight="1">
      <c r="A49" s="15" t="s">
        <v>11</v>
      </c>
      <c r="B49" s="14" t="s">
        <v>12</v>
      </c>
      <c r="C49" s="72">
        <f>C50</f>
        <v>4308</v>
      </c>
      <c r="D49" s="72">
        <v>4383</v>
      </c>
      <c r="E49" s="72">
        <v>4466</v>
      </c>
    </row>
    <row r="50" spans="1:6" ht="40.5" customHeight="1">
      <c r="A50" s="16" t="s">
        <v>93</v>
      </c>
      <c r="B50" s="17" t="s">
        <v>9</v>
      </c>
      <c r="C50" s="73">
        <v>4308</v>
      </c>
      <c r="D50" s="75"/>
      <c r="E50" s="75"/>
      <c r="F50" s="9"/>
    </row>
    <row r="51" spans="1:5" ht="54.75" customHeight="1">
      <c r="A51" s="12" t="s">
        <v>19</v>
      </c>
      <c r="B51" s="14" t="s">
        <v>20</v>
      </c>
      <c r="C51" s="72">
        <f>C52+C53</f>
        <v>118068.46465</v>
      </c>
      <c r="D51" s="72">
        <f>D52</f>
        <v>1000</v>
      </c>
      <c r="E51" s="72">
        <f>E52</f>
        <v>1000</v>
      </c>
    </row>
    <row r="52" spans="1:5" ht="54.75" customHeight="1">
      <c r="A52" s="21" t="s">
        <v>94</v>
      </c>
      <c r="B52" s="22" t="s">
        <v>53</v>
      </c>
      <c r="C52" s="73">
        <v>1000</v>
      </c>
      <c r="D52" s="75">
        <v>1000</v>
      </c>
      <c r="E52" s="75">
        <v>1000</v>
      </c>
    </row>
    <row r="53" spans="1:6" ht="54.75" customHeight="1">
      <c r="A53" s="21" t="s">
        <v>190</v>
      </c>
      <c r="B53" s="22" t="s">
        <v>191</v>
      </c>
      <c r="C53" s="73">
        <f>7000-927.6582+75.67359+108920.44926+2000</f>
        <v>117068.46465</v>
      </c>
      <c r="D53" s="75">
        <v>0</v>
      </c>
      <c r="E53" s="75">
        <v>0</v>
      </c>
      <c r="F53" s="9"/>
    </row>
    <row r="54" spans="1:5" ht="43.5" customHeight="1">
      <c r="A54" s="15" t="s">
        <v>6</v>
      </c>
      <c r="B54" s="14" t="s">
        <v>21</v>
      </c>
      <c r="C54" s="72">
        <f>C55+C56+C57</f>
        <v>148401.00000000003</v>
      </c>
      <c r="D54" s="72">
        <f>D55+D56+D57</f>
        <v>23014</v>
      </c>
      <c r="E54" s="72">
        <f>E55+E56+E57</f>
        <v>23014</v>
      </c>
    </row>
    <row r="55" spans="1:6" ht="111" customHeight="1">
      <c r="A55" s="28" t="s">
        <v>95</v>
      </c>
      <c r="B55" s="17" t="s">
        <v>80</v>
      </c>
      <c r="C55" s="73">
        <f>12000+4329.6+7670.4+88079.6</f>
        <v>112079.6</v>
      </c>
      <c r="D55" s="75">
        <v>10000</v>
      </c>
      <c r="E55" s="75">
        <v>10000</v>
      </c>
      <c r="F55" s="9"/>
    </row>
    <row r="56" spans="1:6" ht="68.25" customHeight="1">
      <c r="A56" s="28" t="s">
        <v>96</v>
      </c>
      <c r="B56" s="17" t="s">
        <v>77</v>
      </c>
      <c r="C56" s="73">
        <f>10194+12344.2</f>
        <v>22538.2</v>
      </c>
      <c r="D56" s="75">
        <v>10194</v>
      </c>
      <c r="E56" s="75">
        <v>10194</v>
      </c>
      <c r="F56" s="9"/>
    </row>
    <row r="57" spans="1:6" ht="93.75" customHeight="1">
      <c r="A57" s="28" t="s">
        <v>97</v>
      </c>
      <c r="B57" s="17" t="s">
        <v>76</v>
      </c>
      <c r="C57" s="73">
        <f>2820+646.7+10316.5</f>
        <v>13783.2</v>
      </c>
      <c r="D57" s="75">
        <v>2820</v>
      </c>
      <c r="E57" s="75">
        <v>2820</v>
      </c>
      <c r="F57" s="9"/>
    </row>
    <row r="58" spans="1:6" ht="65.25" customHeight="1">
      <c r="A58" s="12" t="s">
        <v>98</v>
      </c>
      <c r="B58" s="14" t="s">
        <v>75</v>
      </c>
      <c r="C58" s="72">
        <f>1993+5007+5000</f>
        <v>12000</v>
      </c>
      <c r="D58" s="72">
        <v>1999</v>
      </c>
      <c r="E58" s="72">
        <v>2140</v>
      </c>
      <c r="F58" s="9"/>
    </row>
    <row r="59" spans="1:6" ht="39" customHeight="1">
      <c r="A59" s="29" t="s">
        <v>46</v>
      </c>
      <c r="B59" s="30" t="s">
        <v>47</v>
      </c>
      <c r="C59" s="72">
        <f>C60</f>
        <v>16910.903</v>
      </c>
      <c r="D59" s="72">
        <f>D60</f>
        <v>0</v>
      </c>
      <c r="E59" s="72">
        <f>E60</f>
        <v>0</v>
      </c>
      <c r="F59" s="9"/>
    </row>
    <row r="60" spans="1:6" ht="33.75" customHeight="1">
      <c r="A60" s="31" t="s">
        <v>100</v>
      </c>
      <c r="B60" s="32" t="s">
        <v>99</v>
      </c>
      <c r="C60" s="76">
        <f>10000+2110.9-199.997+5000</f>
        <v>16910.903</v>
      </c>
      <c r="D60" s="75">
        <v>0</v>
      </c>
      <c r="E60" s="75">
        <v>0</v>
      </c>
      <c r="F60" s="9"/>
    </row>
    <row r="61" spans="1:6" ht="33.75" customHeight="1">
      <c r="A61" s="31" t="s">
        <v>156</v>
      </c>
      <c r="B61" s="32" t="s">
        <v>155</v>
      </c>
      <c r="C61" s="76">
        <v>0</v>
      </c>
      <c r="D61" s="75">
        <v>0</v>
      </c>
      <c r="E61" s="75">
        <v>0</v>
      </c>
      <c r="F61" s="9"/>
    </row>
    <row r="62" spans="1:6" ht="45.75" customHeight="1">
      <c r="A62" s="15" t="s">
        <v>26</v>
      </c>
      <c r="B62" s="14" t="s">
        <v>27</v>
      </c>
      <c r="C62" s="72">
        <f>C63+C157+C158+C156</f>
        <v>9187644.923430001</v>
      </c>
      <c r="D62" s="72">
        <f>D63</f>
        <v>6771615.206900001</v>
      </c>
      <c r="E62" s="72">
        <f>E63</f>
        <v>4058255.2687999997</v>
      </c>
      <c r="F62" s="9"/>
    </row>
    <row r="63" spans="1:6" s="7" customFormat="1" ht="60" customHeight="1">
      <c r="A63" s="15" t="s">
        <v>23</v>
      </c>
      <c r="B63" s="33" t="s">
        <v>24</v>
      </c>
      <c r="C63" s="72">
        <f>C64+C65+C127+C152</f>
        <v>9019159.22643</v>
      </c>
      <c r="D63" s="72">
        <f>D64+D65+D127+D152</f>
        <v>6771615.206900001</v>
      </c>
      <c r="E63" s="72">
        <f>E64+E65+E127+E152</f>
        <v>4058255.2687999997</v>
      </c>
      <c r="F63" s="57"/>
    </row>
    <row r="64" spans="1:7" ht="44.25" customHeight="1">
      <c r="A64" s="16" t="s">
        <v>78</v>
      </c>
      <c r="B64" s="34" t="s">
        <v>79</v>
      </c>
      <c r="C64" s="73">
        <v>4976</v>
      </c>
      <c r="D64" s="75">
        <v>996</v>
      </c>
      <c r="E64" s="75">
        <v>7198</v>
      </c>
      <c r="F64" s="9"/>
      <c r="G64" s="9"/>
    </row>
    <row r="65" spans="1:8" ht="59.25" customHeight="1">
      <c r="A65" s="35" t="s">
        <v>39</v>
      </c>
      <c r="B65" s="14" t="s">
        <v>28</v>
      </c>
      <c r="C65" s="72">
        <f>C66+C73+C80+C82+C83+C87+C96+C102+C67+C71+C74+C81+C84+C79+C95</f>
        <v>4482002.882430001</v>
      </c>
      <c r="D65" s="72">
        <f>D66+D73+D80+D82+D83+D87+D96+D102+D67+D71+D74+D81+D84+D79</f>
        <v>3367280.7469</v>
      </c>
      <c r="E65" s="72">
        <f>E66+E73+E80+E82+E83+E87+E96+E102+E67+E71+E74+E81+E84+E79</f>
        <v>887571.8087999996</v>
      </c>
      <c r="F65" s="51"/>
      <c r="G65" s="38"/>
      <c r="H65" s="38"/>
    </row>
    <row r="66" spans="1:8" ht="110.25" customHeight="1">
      <c r="A66" s="36" t="s">
        <v>59</v>
      </c>
      <c r="B66" s="17" t="s">
        <v>60</v>
      </c>
      <c r="C66" s="73">
        <f>98034+295053+26257-14678</f>
        <v>404666</v>
      </c>
      <c r="D66" s="75">
        <v>101819</v>
      </c>
      <c r="E66" s="75">
        <v>855</v>
      </c>
      <c r="F66" s="51"/>
      <c r="G66" s="9"/>
      <c r="H66" s="9"/>
    </row>
    <row r="67" spans="1:8" ht="99.75" customHeight="1">
      <c r="A67" s="36" t="s">
        <v>71</v>
      </c>
      <c r="B67" s="17" t="s">
        <v>128</v>
      </c>
      <c r="C67" s="73">
        <f>C68+C69+C70</f>
        <v>1026386.8871299999</v>
      </c>
      <c r="D67" s="73">
        <f>D68+D69+D70</f>
        <v>1571180.7277100002</v>
      </c>
      <c r="E67" s="73">
        <f>E68+E69+E70</f>
        <v>119345.90576999984</v>
      </c>
      <c r="F67" s="51"/>
      <c r="G67" s="9"/>
      <c r="H67" s="9"/>
    </row>
    <row r="68" spans="1:8" ht="79.5" customHeight="1">
      <c r="A68" s="36"/>
      <c r="B68" s="43" t="s">
        <v>164</v>
      </c>
      <c r="C68" s="80">
        <f>111115.7+137186-0.10305+357549.30064+0.70537+90960.43216</f>
        <v>696812.0351199999</v>
      </c>
      <c r="D68" s="85">
        <f>304050-304050+730326.50581</f>
        <v>730326.50581</v>
      </c>
      <c r="E68" s="80">
        <f>1405744.4-178734.7+6243.53855-6243.70698-1227009.59712+0.06555</f>
        <v>-1.7397105978034233E-10</v>
      </c>
      <c r="F68" s="59"/>
      <c r="G68" s="89"/>
      <c r="H68" s="59"/>
    </row>
    <row r="69" spans="1:9" ht="79.5" customHeight="1">
      <c r="A69" s="94"/>
      <c r="B69" s="46" t="s">
        <v>165</v>
      </c>
      <c r="C69" s="80">
        <f>202523.7+91855-0.05263</f>
        <v>294378.64737</v>
      </c>
      <c r="D69" s="80">
        <f>1022397.9-335514.3-0.08953+153970.71143</f>
        <v>840854.2219000001</v>
      </c>
      <c r="E69" s="80">
        <f>317536.7-198190.72868-0.06555</f>
        <v>119345.90577000001</v>
      </c>
      <c r="F69" s="95"/>
      <c r="G69" s="95"/>
      <c r="H69" s="95"/>
      <c r="I69" s="41"/>
    </row>
    <row r="70" spans="1:9" ht="51.75" customHeight="1">
      <c r="A70" s="94"/>
      <c r="B70" s="46" t="s">
        <v>210</v>
      </c>
      <c r="C70" s="80">
        <f>29973.03868+5223.16596</f>
        <v>35196.20464</v>
      </c>
      <c r="D70" s="80"/>
      <c r="E70" s="80"/>
      <c r="F70" s="95"/>
      <c r="G70" s="49"/>
      <c r="H70" s="49"/>
      <c r="I70" s="41"/>
    </row>
    <row r="71" spans="1:8" ht="64.5" customHeight="1">
      <c r="A71" s="36" t="s">
        <v>113</v>
      </c>
      <c r="B71" s="17" t="s">
        <v>112</v>
      </c>
      <c r="C71" s="73">
        <f>C72</f>
        <v>3104.25</v>
      </c>
      <c r="D71" s="73">
        <f>D72</f>
        <v>600</v>
      </c>
      <c r="E71" s="73">
        <f>E72</f>
        <v>0</v>
      </c>
      <c r="F71" s="51"/>
      <c r="G71" s="9"/>
      <c r="H71" s="9"/>
    </row>
    <row r="72" spans="1:8" ht="84" customHeight="1">
      <c r="A72" s="36"/>
      <c r="B72" s="43" t="s">
        <v>169</v>
      </c>
      <c r="C72" s="80">
        <v>3104.25</v>
      </c>
      <c r="D72" s="85">
        <v>600</v>
      </c>
      <c r="E72" s="85">
        <v>0</v>
      </c>
      <c r="F72" s="51"/>
      <c r="G72" s="9"/>
      <c r="H72" s="9"/>
    </row>
    <row r="73" spans="1:8" ht="93" customHeight="1">
      <c r="A73" s="28" t="s">
        <v>61</v>
      </c>
      <c r="B73" s="53" t="s">
        <v>217</v>
      </c>
      <c r="C73" s="73">
        <f>6274.99-0.0068</f>
        <v>6274.9832</v>
      </c>
      <c r="D73" s="75">
        <f>6274.03-0.0094</f>
        <v>6274.0206</v>
      </c>
      <c r="E73" s="75">
        <v>13500</v>
      </c>
      <c r="F73" s="51"/>
      <c r="G73" s="9"/>
      <c r="H73" s="9"/>
    </row>
    <row r="74" spans="1:11" ht="72" customHeight="1">
      <c r="A74" s="28" t="s">
        <v>104</v>
      </c>
      <c r="B74" s="11" t="s">
        <v>151</v>
      </c>
      <c r="C74" s="73">
        <f>C75+C77+C78+C76</f>
        <v>3946.100000000001</v>
      </c>
      <c r="D74" s="73">
        <f>D75+D77+D78+D76</f>
        <v>0</v>
      </c>
      <c r="E74" s="73">
        <f>E75+E77+E78+E76</f>
        <v>10582.38</v>
      </c>
      <c r="F74" s="51"/>
      <c r="G74" s="9"/>
      <c r="H74" s="9"/>
      <c r="I74" s="9"/>
      <c r="J74" s="9"/>
      <c r="K74" s="9"/>
    </row>
    <row r="75" spans="1:11" ht="171.75" customHeight="1">
      <c r="A75" s="28"/>
      <c r="B75" s="54" t="s">
        <v>148</v>
      </c>
      <c r="C75" s="80">
        <f>6920.6-1333.7-3644.2</f>
        <v>1942.7000000000007</v>
      </c>
      <c r="D75" s="85">
        <v>0</v>
      </c>
      <c r="E75" s="85">
        <v>0</v>
      </c>
      <c r="F75" s="51"/>
      <c r="G75" s="9"/>
      <c r="H75" s="9"/>
      <c r="I75" s="9"/>
      <c r="J75" s="9"/>
      <c r="K75" s="9"/>
    </row>
    <row r="76" spans="1:11" ht="131.25" customHeight="1">
      <c r="A76" s="28"/>
      <c r="B76" s="54" t="s">
        <v>157</v>
      </c>
      <c r="C76" s="80">
        <f>585.9+1417.5</f>
        <v>2003.4</v>
      </c>
      <c r="D76" s="85">
        <v>0</v>
      </c>
      <c r="E76" s="85">
        <v>0</v>
      </c>
      <c r="F76" s="51"/>
      <c r="G76" s="9"/>
      <c r="H76" s="9"/>
      <c r="I76" s="9"/>
      <c r="J76" s="9"/>
      <c r="K76" s="9"/>
    </row>
    <row r="77" spans="1:11" ht="122.25" customHeight="1">
      <c r="A77" s="28"/>
      <c r="B77" s="54" t="s">
        <v>170</v>
      </c>
      <c r="C77" s="80">
        <v>0</v>
      </c>
      <c r="D77" s="85">
        <v>0</v>
      </c>
      <c r="E77" s="85">
        <v>1029</v>
      </c>
      <c r="F77" s="51"/>
      <c r="G77" s="9"/>
      <c r="H77" s="9"/>
      <c r="I77" s="9"/>
      <c r="J77" s="9"/>
      <c r="K77" s="9"/>
    </row>
    <row r="78" spans="1:11" ht="65.25" customHeight="1">
      <c r="A78" s="28"/>
      <c r="B78" s="54" t="s">
        <v>171</v>
      </c>
      <c r="C78" s="80">
        <v>0</v>
      </c>
      <c r="D78" s="85">
        <v>0</v>
      </c>
      <c r="E78" s="85">
        <v>9553.38</v>
      </c>
      <c r="F78" s="51"/>
      <c r="G78" s="9"/>
      <c r="H78" s="9"/>
      <c r="I78" s="9"/>
      <c r="J78" s="9"/>
      <c r="K78" s="9"/>
    </row>
    <row r="79" spans="1:11" ht="111.75" customHeight="1">
      <c r="A79" s="28" t="s">
        <v>149</v>
      </c>
      <c r="B79" s="11" t="s">
        <v>150</v>
      </c>
      <c r="C79" s="80">
        <v>21557.69</v>
      </c>
      <c r="D79" s="85">
        <v>0</v>
      </c>
      <c r="E79" s="85">
        <v>0</v>
      </c>
      <c r="F79" s="51"/>
      <c r="G79" s="9"/>
      <c r="H79" s="9"/>
      <c r="I79" s="9"/>
      <c r="J79" s="9"/>
      <c r="K79" s="9"/>
    </row>
    <row r="80" spans="1:11" ht="75.75" customHeight="1">
      <c r="A80" s="28" t="s">
        <v>58</v>
      </c>
      <c r="B80" s="11" t="s">
        <v>218</v>
      </c>
      <c r="C80" s="73">
        <f>996122.1-23951.2-30483.3</f>
        <v>941687.6</v>
      </c>
      <c r="D80" s="75">
        <v>0</v>
      </c>
      <c r="E80" s="75">
        <v>0</v>
      </c>
      <c r="F80" s="51"/>
      <c r="G80" s="9"/>
      <c r="H80" s="9"/>
      <c r="I80" s="9"/>
      <c r="J80" s="9"/>
      <c r="K80" s="9"/>
    </row>
    <row r="81" spans="1:11" ht="80.25" customHeight="1">
      <c r="A81" s="28" t="s">
        <v>109</v>
      </c>
      <c r="B81" s="42" t="s">
        <v>108</v>
      </c>
      <c r="C81" s="73">
        <f>109882+2209-0.06</f>
        <v>112090.94</v>
      </c>
      <c r="D81" s="75">
        <f>110223-6</f>
        <v>110217</v>
      </c>
      <c r="E81" s="75">
        <f>113553-241</f>
        <v>113312</v>
      </c>
      <c r="F81" s="58"/>
      <c r="G81" s="58"/>
      <c r="H81" s="58"/>
      <c r="I81" s="9"/>
      <c r="J81" s="9"/>
      <c r="K81" s="9"/>
    </row>
    <row r="82" spans="1:11" ht="79.5" customHeight="1">
      <c r="A82" s="28" t="s">
        <v>54</v>
      </c>
      <c r="B82" s="11" t="s">
        <v>219</v>
      </c>
      <c r="C82" s="73">
        <f>1834.67-0.00992</f>
        <v>1834.66008</v>
      </c>
      <c r="D82" s="75">
        <f>1743.52-0.00127</f>
        <v>1743.51873</v>
      </c>
      <c r="E82" s="75">
        <f>1750.81-0.00319</f>
        <v>1750.80681</v>
      </c>
      <c r="F82" s="51"/>
      <c r="G82" s="9"/>
      <c r="H82" s="9"/>
      <c r="I82" s="9"/>
      <c r="J82" s="9"/>
      <c r="K82" s="9"/>
    </row>
    <row r="83" spans="1:11" ht="48" customHeight="1">
      <c r="A83" s="28" t="s">
        <v>57</v>
      </c>
      <c r="B83" s="11" t="s">
        <v>220</v>
      </c>
      <c r="C83" s="73">
        <f>31065-8336.3</f>
        <v>22728.7</v>
      </c>
      <c r="D83" s="75">
        <v>5684</v>
      </c>
      <c r="E83" s="75">
        <v>5432</v>
      </c>
      <c r="F83" s="51"/>
      <c r="G83" s="9"/>
      <c r="H83" s="9"/>
      <c r="I83" s="9"/>
      <c r="J83" s="9"/>
      <c r="K83" s="9"/>
    </row>
    <row r="84" spans="1:11" ht="48" customHeight="1">
      <c r="A84" s="28" t="s">
        <v>110</v>
      </c>
      <c r="B84" s="11" t="s">
        <v>111</v>
      </c>
      <c r="C84" s="73">
        <f>C85+C86</f>
        <v>1055.31878</v>
      </c>
      <c r="D84" s="73">
        <f>D85+D86</f>
        <v>13025.07226</v>
      </c>
      <c r="E84" s="73">
        <f>E85+E86</f>
        <v>10664.84622</v>
      </c>
      <c r="F84" s="51"/>
      <c r="G84" s="9"/>
      <c r="H84" s="9"/>
      <c r="I84" s="9"/>
      <c r="J84" s="9"/>
      <c r="K84" s="9"/>
    </row>
    <row r="85" spans="1:8" ht="51.75" customHeight="1">
      <c r="A85" s="36"/>
      <c r="B85" s="43" t="s">
        <v>162</v>
      </c>
      <c r="C85" s="80">
        <f>11855-11855</f>
        <v>0</v>
      </c>
      <c r="D85" s="85">
        <f>9822.5+2197.5</f>
        <v>12020</v>
      </c>
      <c r="E85" s="85">
        <v>9657.5</v>
      </c>
      <c r="F85" s="51"/>
      <c r="G85" s="9"/>
      <c r="H85" s="9"/>
    </row>
    <row r="86" spans="1:11" ht="89.25" customHeight="1">
      <c r="A86" s="28"/>
      <c r="B86" s="44" t="s">
        <v>202</v>
      </c>
      <c r="C86" s="73">
        <f>1056.47-0.00894-1.14228</f>
        <v>1055.31878</v>
      </c>
      <c r="D86" s="75">
        <f>1006.16-1.08774</f>
        <v>1005.0722599999999</v>
      </c>
      <c r="E86" s="75">
        <f>1008.44-1.09378</f>
        <v>1007.34622</v>
      </c>
      <c r="F86" s="51"/>
      <c r="G86" s="9"/>
      <c r="H86" s="9"/>
      <c r="I86" s="9"/>
      <c r="J86" s="9"/>
      <c r="K86" s="9"/>
    </row>
    <row r="87" spans="1:11" ht="54" customHeight="1">
      <c r="A87" s="28" t="s">
        <v>62</v>
      </c>
      <c r="B87" s="11" t="s">
        <v>221</v>
      </c>
      <c r="C87" s="73">
        <f>+C88+C89+C90+C91+C92+C94+C93</f>
        <v>232217.88</v>
      </c>
      <c r="D87" s="73">
        <f>+D88+D89+D90+D91+D92+D94+D93</f>
        <v>80753.13</v>
      </c>
      <c r="E87" s="73">
        <f>+E88+E89+E90+E91+E92+E94+E93</f>
        <v>4635</v>
      </c>
      <c r="F87" s="51"/>
      <c r="G87" s="9"/>
      <c r="H87" s="48"/>
      <c r="I87" s="9"/>
      <c r="J87" s="9"/>
      <c r="K87" s="9"/>
    </row>
    <row r="88" spans="1:11" ht="76.5" customHeight="1">
      <c r="A88" s="28"/>
      <c r="B88" s="44" t="s">
        <v>129</v>
      </c>
      <c r="C88" s="80">
        <f>30000+67714.8+4947.43+11261.58</f>
        <v>113923.81000000001</v>
      </c>
      <c r="D88" s="85">
        <v>0</v>
      </c>
      <c r="E88" s="85">
        <v>0</v>
      </c>
      <c r="F88" s="51"/>
      <c r="G88" s="9"/>
      <c r="H88" s="48"/>
      <c r="I88" s="9"/>
      <c r="J88" s="9"/>
      <c r="K88" s="9"/>
    </row>
    <row r="89" spans="1:11" ht="69" customHeight="1">
      <c r="A89" s="28"/>
      <c r="B89" s="44" t="s">
        <v>146</v>
      </c>
      <c r="C89" s="80">
        <v>19500</v>
      </c>
      <c r="D89" s="85">
        <v>0</v>
      </c>
      <c r="E89" s="85">
        <v>0</v>
      </c>
      <c r="F89" s="51"/>
      <c r="G89" s="9"/>
      <c r="H89" s="48"/>
      <c r="I89" s="9"/>
      <c r="J89" s="9"/>
      <c r="K89" s="9"/>
    </row>
    <row r="90" spans="1:11" ht="75.75" customHeight="1">
      <c r="A90" s="28"/>
      <c r="B90" s="46" t="s">
        <v>166</v>
      </c>
      <c r="C90" s="80">
        <f>15118.54+1061</f>
        <v>16179.54</v>
      </c>
      <c r="D90" s="85">
        <v>15280.32</v>
      </c>
      <c r="E90" s="85">
        <v>4635</v>
      </c>
      <c r="F90" s="51"/>
      <c r="G90" s="9"/>
      <c r="H90" s="48"/>
      <c r="I90" s="9"/>
      <c r="J90" s="9"/>
      <c r="K90" s="9"/>
    </row>
    <row r="91" spans="1:11" ht="44.25" customHeight="1">
      <c r="A91" s="28"/>
      <c r="B91" s="46" t="s">
        <v>145</v>
      </c>
      <c r="C91" s="80">
        <f>24878.53+9201.71-14591.08</f>
        <v>19489.159999999996</v>
      </c>
      <c r="D91" s="85">
        <f>57788.02+20405.23-34711.15</f>
        <v>43482.1</v>
      </c>
      <c r="E91" s="85">
        <v>0</v>
      </c>
      <c r="F91" s="51"/>
      <c r="G91" s="9"/>
      <c r="H91" s="48"/>
      <c r="I91" s="9"/>
      <c r="J91" s="9"/>
      <c r="K91" s="9"/>
    </row>
    <row r="92" spans="1:11" ht="48.75" customHeight="1">
      <c r="A92" s="28"/>
      <c r="B92" s="46" t="s">
        <v>167</v>
      </c>
      <c r="C92" s="80">
        <f>10000-10000</f>
        <v>0</v>
      </c>
      <c r="D92" s="85">
        <v>0</v>
      </c>
      <c r="E92" s="85">
        <v>0</v>
      </c>
      <c r="F92" s="51"/>
      <c r="G92" s="9"/>
      <c r="H92" s="48"/>
      <c r="I92" s="9"/>
      <c r="J92" s="9"/>
      <c r="K92" s="9"/>
    </row>
    <row r="93" spans="1:7" ht="51.75" customHeight="1">
      <c r="A93" s="36"/>
      <c r="B93" s="43" t="s">
        <v>203</v>
      </c>
      <c r="C93" s="80">
        <v>39302.37</v>
      </c>
      <c r="D93" s="85"/>
      <c r="E93" s="85">
        <v>0</v>
      </c>
      <c r="F93" s="51"/>
      <c r="G93" s="9"/>
    </row>
    <row r="94" spans="1:11" ht="49.5" customHeight="1">
      <c r="A94" s="28"/>
      <c r="B94" s="46" t="s">
        <v>168</v>
      </c>
      <c r="C94" s="80">
        <v>23823</v>
      </c>
      <c r="D94" s="85">
        <f>81441-59450.29</f>
        <v>21990.71</v>
      </c>
      <c r="E94" s="85">
        <v>0</v>
      </c>
      <c r="F94" s="51"/>
      <c r="G94" s="9"/>
      <c r="H94" s="48"/>
      <c r="I94" s="9"/>
      <c r="J94" s="9"/>
      <c r="K94" s="9"/>
    </row>
    <row r="95" spans="1:11" ht="49.5" customHeight="1">
      <c r="A95" s="36" t="s">
        <v>204</v>
      </c>
      <c r="B95" s="88" t="s">
        <v>205</v>
      </c>
      <c r="C95" s="73">
        <f>10698.10714+109588.01786+5349.05357</f>
        <v>125635.17857</v>
      </c>
      <c r="D95" s="85">
        <v>0</v>
      </c>
      <c r="E95" s="85">
        <v>0</v>
      </c>
      <c r="F95" s="87"/>
      <c r="G95" s="9"/>
      <c r="H95" s="48"/>
      <c r="I95" s="9"/>
      <c r="J95" s="9"/>
      <c r="K95" s="9"/>
    </row>
    <row r="96" spans="1:11" ht="61.5" customHeight="1">
      <c r="A96" s="36" t="s">
        <v>56</v>
      </c>
      <c r="B96" s="17" t="s">
        <v>133</v>
      </c>
      <c r="C96" s="73">
        <f>C97+C98+C99+C100+C101</f>
        <v>787974.38</v>
      </c>
      <c r="D96" s="73">
        <f>D97+D98+D99+D100</f>
        <v>845010.54</v>
      </c>
      <c r="E96" s="73">
        <f>E97+E98+E99+E100</f>
        <v>334781.81999999995</v>
      </c>
      <c r="F96" s="51"/>
      <c r="G96" s="9"/>
      <c r="H96" s="9"/>
      <c r="I96" s="9"/>
      <c r="J96" s="9"/>
      <c r="K96" s="9"/>
    </row>
    <row r="97" spans="1:8" ht="66" customHeight="1">
      <c r="A97" s="36"/>
      <c r="B97" s="46" t="s">
        <v>130</v>
      </c>
      <c r="C97" s="80">
        <v>95584.85</v>
      </c>
      <c r="D97" s="85">
        <f>231562.04+37635.75</f>
        <v>269197.79000000004</v>
      </c>
      <c r="E97" s="85">
        <v>0</v>
      </c>
      <c r="F97" s="51"/>
      <c r="G97" s="9"/>
      <c r="H97" s="9"/>
    </row>
    <row r="98" spans="1:6" ht="68.25" customHeight="1">
      <c r="A98" s="36"/>
      <c r="B98" s="46" t="s">
        <v>131</v>
      </c>
      <c r="C98" s="80">
        <v>0</v>
      </c>
      <c r="D98" s="85">
        <f>14766.22+30.35-103.35+68090.88</f>
        <v>82784.1</v>
      </c>
      <c r="E98" s="85">
        <f>138608.46+785.59-2675.14+89262.91</f>
        <v>225981.81999999998</v>
      </c>
      <c r="F98" s="51"/>
    </row>
    <row r="99" spans="1:8" ht="78" customHeight="1">
      <c r="A99" s="36"/>
      <c r="B99" s="46" t="s">
        <v>132</v>
      </c>
      <c r="C99" s="80">
        <f>459666.29+219228.24</f>
        <v>678894.53</v>
      </c>
      <c r="D99" s="85">
        <f>609255.25-116226.6</f>
        <v>493028.65</v>
      </c>
      <c r="E99" s="85">
        <v>0</v>
      </c>
      <c r="F99" s="51"/>
      <c r="G99" s="9"/>
      <c r="H99" s="9"/>
    </row>
    <row r="100" spans="1:9" ht="61.5" customHeight="1">
      <c r="A100" s="36"/>
      <c r="B100" s="46" t="s">
        <v>144</v>
      </c>
      <c r="C100" s="80">
        <f>1256+8374</f>
        <v>9630</v>
      </c>
      <c r="D100" s="85">
        <v>0</v>
      </c>
      <c r="E100" s="85">
        <v>108800</v>
      </c>
      <c r="F100" s="51"/>
      <c r="G100" s="9"/>
      <c r="H100" s="9"/>
      <c r="I100" s="40"/>
    </row>
    <row r="101" spans="1:9" ht="48.75" customHeight="1">
      <c r="A101" s="36"/>
      <c r="B101" s="46" t="s">
        <v>182</v>
      </c>
      <c r="C101" s="80">
        <v>3865</v>
      </c>
      <c r="D101" s="85"/>
      <c r="E101" s="85"/>
      <c r="F101" s="51"/>
      <c r="G101" s="9"/>
      <c r="H101" s="9"/>
      <c r="I101" s="40"/>
    </row>
    <row r="102" spans="1:9" ht="47.25" customHeight="1">
      <c r="A102" s="35" t="s">
        <v>55</v>
      </c>
      <c r="B102" s="14" t="s">
        <v>222</v>
      </c>
      <c r="C102" s="72">
        <f>C103+C104+C106+C107+C105+C108+C109+C110+C111+C112+C113+C114+C115+C116+C117+C118+C119+C121+C120+C122+C126+C123+C124+C125</f>
        <v>790842.31467</v>
      </c>
      <c r="D102" s="72">
        <f>D103+D104+D106+D107+D105+D108+D109+D110+D111+D112+D113+D114+D115+D116+D117+D118+D119+D121+D120+D122+D126+D123+D124+D125</f>
        <v>630973.7376</v>
      </c>
      <c r="E102" s="72">
        <f>E103+E104+E106+E107+E105+E108+E109+E110+E111+E112+E113+E114+E115+E116+E117+E118+E119+E121+E120+E122+E126+E123+E124+E125</f>
        <v>272712.05</v>
      </c>
      <c r="F102" s="51"/>
      <c r="G102" s="9"/>
      <c r="I102" s="40"/>
    </row>
    <row r="103" spans="1:9" ht="92.25" customHeight="1">
      <c r="A103" s="36"/>
      <c r="B103" s="43" t="s">
        <v>114</v>
      </c>
      <c r="C103" s="80">
        <f>50567.5+29338.71</f>
        <v>79906.20999999999</v>
      </c>
      <c r="D103" s="85">
        <v>0</v>
      </c>
      <c r="E103" s="85">
        <f>92622.81-92622.81</f>
        <v>0</v>
      </c>
      <c r="F103" s="51"/>
      <c r="H103" s="9"/>
      <c r="I103" s="40"/>
    </row>
    <row r="104" spans="1:9" ht="77.25" customHeight="1">
      <c r="A104" s="36"/>
      <c r="B104" s="43" t="s">
        <v>115</v>
      </c>
      <c r="C104" s="80">
        <f>57975-18271+7055.5</f>
        <v>46759.5</v>
      </c>
      <c r="D104" s="85">
        <v>98140</v>
      </c>
      <c r="E104" s="85">
        <v>0</v>
      </c>
      <c r="F104" s="51"/>
      <c r="G104" s="9"/>
      <c r="I104" s="40"/>
    </row>
    <row r="105" spans="1:8" ht="99" customHeight="1">
      <c r="A105" s="36"/>
      <c r="B105" s="43" t="s">
        <v>116</v>
      </c>
      <c r="C105" s="80">
        <f>1593+285</f>
        <v>1878</v>
      </c>
      <c r="D105" s="85">
        <f>1657+296</f>
        <v>1953</v>
      </c>
      <c r="E105" s="85">
        <f>1723+308</f>
        <v>2031</v>
      </c>
      <c r="F105" s="51"/>
      <c r="G105" s="9"/>
      <c r="H105" s="9"/>
    </row>
    <row r="106" spans="1:8" ht="109.5" customHeight="1">
      <c r="A106" s="36"/>
      <c r="B106" s="43" t="s">
        <v>147</v>
      </c>
      <c r="C106" s="80">
        <v>69316</v>
      </c>
      <c r="D106" s="85">
        <v>62860</v>
      </c>
      <c r="E106" s="85">
        <v>62860</v>
      </c>
      <c r="F106" s="51"/>
      <c r="G106" s="9"/>
      <c r="H106" s="9"/>
    </row>
    <row r="107" spans="1:8" ht="77.25" customHeight="1">
      <c r="A107" s="36"/>
      <c r="B107" s="43" t="s">
        <v>117</v>
      </c>
      <c r="C107" s="80">
        <v>9874</v>
      </c>
      <c r="D107" s="85">
        <v>9874</v>
      </c>
      <c r="E107" s="85">
        <v>9874</v>
      </c>
      <c r="F107" s="51"/>
      <c r="G107" s="9"/>
      <c r="H107" s="9"/>
    </row>
    <row r="108" spans="1:8" ht="59.25" customHeight="1">
      <c r="A108" s="36"/>
      <c r="B108" s="43" t="s">
        <v>118</v>
      </c>
      <c r="C108" s="80">
        <f>9146+112</f>
        <v>9258</v>
      </c>
      <c r="D108" s="85">
        <v>9734</v>
      </c>
      <c r="E108" s="85">
        <v>0</v>
      </c>
      <c r="F108" s="51"/>
      <c r="G108" s="9"/>
      <c r="H108" s="9"/>
    </row>
    <row r="109" spans="1:8" ht="86.25" customHeight="1">
      <c r="A109" s="36"/>
      <c r="B109" s="43" t="s">
        <v>119</v>
      </c>
      <c r="C109" s="80">
        <v>58593</v>
      </c>
      <c r="D109" s="85">
        <v>34065</v>
      </c>
      <c r="E109" s="85">
        <v>34473</v>
      </c>
      <c r="F109" s="51"/>
      <c r="G109" s="9"/>
      <c r="H109" s="9"/>
    </row>
    <row r="110" spans="1:8" ht="62.25" customHeight="1">
      <c r="A110" s="36"/>
      <c r="B110" s="43" t="s">
        <v>120</v>
      </c>
      <c r="C110" s="80">
        <f>2029-2029</f>
        <v>0</v>
      </c>
      <c r="D110" s="85">
        <f>1305+202</f>
        <v>1507</v>
      </c>
      <c r="E110" s="85">
        <v>0</v>
      </c>
      <c r="F110" s="51"/>
      <c r="G110" s="9"/>
      <c r="H110" s="9"/>
    </row>
    <row r="111" spans="1:7" ht="74.25" customHeight="1">
      <c r="A111" s="36"/>
      <c r="B111" s="43" t="s">
        <v>121</v>
      </c>
      <c r="C111" s="80">
        <v>7121</v>
      </c>
      <c r="D111" s="85">
        <v>0</v>
      </c>
      <c r="E111" s="85">
        <v>0</v>
      </c>
      <c r="F111" s="40"/>
      <c r="G111" s="9"/>
    </row>
    <row r="112" spans="1:7" ht="137.25" customHeight="1">
      <c r="A112" s="36"/>
      <c r="B112" s="43" t="s">
        <v>122</v>
      </c>
      <c r="C112" s="80">
        <v>2498.5</v>
      </c>
      <c r="D112" s="85">
        <v>5551.8</v>
      </c>
      <c r="E112" s="85">
        <v>2775.9</v>
      </c>
      <c r="F112" s="51"/>
      <c r="G112" s="9"/>
    </row>
    <row r="113" spans="1:7" ht="54.75" customHeight="1">
      <c r="A113" s="36"/>
      <c r="B113" s="43" t="s">
        <v>123</v>
      </c>
      <c r="C113" s="80">
        <f>6043.7-2414.72</f>
        <v>3628.98</v>
      </c>
      <c r="D113" s="85">
        <v>5480.76</v>
      </c>
      <c r="E113" s="85">
        <v>5480.76</v>
      </c>
      <c r="F113" s="51"/>
      <c r="G113" s="9"/>
    </row>
    <row r="114" spans="1:8" ht="83.25" customHeight="1">
      <c r="A114" s="36"/>
      <c r="B114" s="43" t="s">
        <v>124</v>
      </c>
      <c r="C114" s="80"/>
      <c r="D114" s="85">
        <f>59647.1-14545.51</f>
        <v>45101.59</v>
      </c>
      <c r="E114" s="85">
        <f>59647.1+8005.29</f>
        <v>67652.39</v>
      </c>
      <c r="F114" s="51"/>
      <c r="G114" s="9"/>
      <c r="H114" s="9"/>
    </row>
    <row r="115" spans="1:7" ht="57" customHeight="1">
      <c r="A115" s="36"/>
      <c r="B115" s="43" t="s">
        <v>152</v>
      </c>
      <c r="C115" s="80">
        <f>97809.11+24964.2-0.006+26676.05</f>
        <v>149449.354</v>
      </c>
      <c r="D115" s="85">
        <v>0</v>
      </c>
      <c r="E115" s="85">
        <v>0</v>
      </c>
      <c r="F115" s="93"/>
      <c r="G115" s="9"/>
    </row>
    <row r="116" spans="1:7" ht="124.5" customHeight="1">
      <c r="A116" s="36"/>
      <c r="B116" s="43" t="s">
        <v>153</v>
      </c>
      <c r="C116" s="80">
        <v>226</v>
      </c>
      <c r="D116" s="85">
        <v>205</v>
      </c>
      <c r="E116" s="85">
        <v>205</v>
      </c>
      <c r="F116" s="51"/>
      <c r="G116" s="9"/>
    </row>
    <row r="117" spans="1:7" ht="90" customHeight="1">
      <c r="A117" s="36"/>
      <c r="B117" s="43" t="s">
        <v>154</v>
      </c>
      <c r="C117" s="80">
        <f>91811+58189+26676.05-26676.05+63364</f>
        <v>213364</v>
      </c>
      <c r="D117" s="85">
        <v>91811</v>
      </c>
      <c r="E117" s="85">
        <v>0</v>
      </c>
      <c r="F117" s="51"/>
      <c r="G117" s="9"/>
    </row>
    <row r="118" spans="1:7" ht="51.75" customHeight="1">
      <c r="A118" s="36"/>
      <c r="B118" s="43" t="s">
        <v>160</v>
      </c>
      <c r="C118" s="80">
        <v>1963.50967</v>
      </c>
      <c r="D118" s="85">
        <f>10248+7736.187</f>
        <v>17984.186999999998</v>
      </c>
      <c r="E118" s="85">
        <v>13104</v>
      </c>
      <c r="F118" s="51"/>
      <c r="G118" s="9"/>
    </row>
    <row r="119" spans="1:7" ht="51.75" customHeight="1">
      <c r="A119" s="36"/>
      <c r="B119" s="43" t="s">
        <v>161</v>
      </c>
      <c r="C119" s="80">
        <f>65223+107425-130750.79-2779.659</f>
        <v>39117.55100000001</v>
      </c>
      <c r="D119" s="85">
        <f>58069+94518.42+40258.4006</f>
        <v>192845.82059999998</v>
      </c>
      <c r="E119" s="85">
        <v>74256</v>
      </c>
      <c r="F119" s="51"/>
      <c r="G119" s="9"/>
    </row>
    <row r="120" spans="1:7" ht="51.75" customHeight="1">
      <c r="A120" s="36"/>
      <c r="B120" s="43" t="s">
        <v>180</v>
      </c>
      <c r="C120" s="80">
        <f>13812-7884</f>
        <v>5928</v>
      </c>
      <c r="D120" s="85">
        <f>12207+4578.24</f>
        <v>16785.239999999998</v>
      </c>
      <c r="E120" s="85"/>
      <c r="F120" s="51"/>
      <c r="G120" s="9"/>
    </row>
    <row r="121" spans="1:7" ht="51.75" customHeight="1">
      <c r="A121" s="36"/>
      <c r="B121" s="43" t="s">
        <v>163</v>
      </c>
      <c r="C121" s="80">
        <f>22110.38+25319.62-32550</f>
        <v>14880</v>
      </c>
      <c r="D121" s="85">
        <v>25085.88</v>
      </c>
      <c r="E121" s="85">
        <v>0</v>
      </c>
      <c r="F121" s="51"/>
      <c r="G121" s="9"/>
    </row>
    <row r="122" spans="1:7" ht="51.75" customHeight="1">
      <c r="A122" s="36"/>
      <c r="B122" s="43" t="s">
        <v>181</v>
      </c>
      <c r="C122" s="80">
        <f>6168.54+31428.12</f>
        <v>37596.659999999996</v>
      </c>
      <c r="D122" s="85"/>
      <c r="E122" s="85"/>
      <c r="F122" s="51"/>
      <c r="G122" s="9"/>
    </row>
    <row r="123" spans="1:7" ht="51.75" customHeight="1">
      <c r="A123" s="36"/>
      <c r="B123" s="43" t="s">
        <v>215</v>
      </c>
      <c r="C123" s="80">
        <v>10157.22</v>
      </c>
      <c r="D123" s="85"/>
      <c r="E123" s="85"/>
      <c r="F123" s="51"/>
      <c r="G123" s="9"/>
    </row>
    <row r="124" spans="1:7" ht="51.75" customHeight="1">
      <c r="A124" s="36"/>
      <c r="B124" s="43" t="s">
        <v>216</v>
      </c>
      <c r="C124" s="80">
        <v>16612.83</v>
      </c>
      <c r="D124" s="85">
        <v>11989.46</v>
      </c>
      <c r="E124" s="85"/>
      <c r="F124" s="9"/>
      <c r="G124" s="51"/>
    </row>
    <row r="125" spans="1:7" ht="97.5" customHeight="1">
      <c r="A125" s="36"/>
      <c r="B125" s="43" t="s">
        <v>226</v>
      </c>
      <c r="C125" s="80">
        <v>3480</v>
      </c>
      <c r="D125" s="85"/>
      <c r="E125" s="85"/>
      <c r="F125" s="9"/>
      <c r="G125" s="51"/>
    </row>
    <row r="126" spans="1:7" ht="81" customHeight="1">
      <c r="A126" s="36"/>
      <c r="B126" s="43" t="s">
        <v>211</v>
      </c>
      <c r="C126" s="80">
        <v>9234</v>
      </c>
      <c r="D126" s="85"/>
      <c r="E126" s="85"/>
      <c r="F126" s="51"/>
      <c r="G126" s="9"/>
    </row>
    <row r="127" spans="1:10" ht="44.25" customHeight="1">
      <c r="A127" s="13" t="s">
        <v>38</v>
      </c>
      <c r="B127" s="14" t="s">
        <v>29</v>
      </c>
      <c r="C127" s="72">
        <f>C129+C142+C143+C148+C128+C146+C144+C145+C147</f>
        <v>3636601.46</v>
      </c>
      <c r="D127" s="72">
        <f>D129+D142+D143+D148+D128+D146+D144</f>
        <v>3191720.46</v>
      </c>
      <c r="E127" s="72">
        <f>E129+E142+E143+E148+E128+E146+E144</f>
        <v>3158985.46</v>
      </c>
      <c r="F127" s="40"/>
      <c r="G127" s="38"/>
      <c r="H127" s="38"/>
      <c r="I127" s="38"/>
      <c r="J127" s="38"/>
    </row>
    <row r="128" spans="1:8" ht="62.25" customHeight="1">
      <c r="A128" s="21" t="s">
        <v>67</v>
      </c>
      <c r="B128" s="17" t="s">
        <v>68</v>
      </c>
      <c r="C128" s="73">
        <f>141951-3992-26652</f>
        <v>111307</v>
      </c>
      <c r="D128" s="75">
        <f>147141-4147-8894-134100</f>
        <v>0</v>
      </c>
      <c r="E128" s="75">
        <f>152670-4313-8894-139463</f>
        <v>0</v>
      </c>
      <c r="F128" s="51"/>
      <c r="G128" s="9"/>
      <c r="H128" s="9"/>
    </row>
    <row r="129" spans="1:8" ht="60.75" customHeight="1">
      <c r="A129" s="12" t="s">
        <v>63</v>
      </c>
      <c r="B129" s="14" t="s">
        <v>223</v>
      </c>
      <c r="C129" s="72">
        <f>C130+C131+C132+C133+C134+C135+C136+C137+C138+C139+C141+C140</f>
        <v>62309.46</v>
      </c>
      <c r="D129" s="72">
        <f>D130+D131+D132+D133+D134+D135+D136+D137+D138+D139+D141+D140</f>
        <v>63340.46</v>
      </c>
      <c r="E129" s="72">
        <f>E130+E131+E132+E133+E134+E135+E136+E137+E138+E139+E141+E140</f>
        <v>63774.46</v>
      </c>
      <c r="F129" s="40"/>
      <c r="H129" s="39"/>
    </row>
    <row r="130" spans="1:9" s="41" customFormat="1" ht="99.75" customHeight="1">
      <c r="A130" s="47"/>
      <c r="B130" s="46" t="s">
        <v>134</v>
      </c>
      <c r="C130" s="80">
        <f>872+88</f>
        <v>960</v>
      </c>
      <c r="D130" s="80">
        <v>872</v>
      </c>
      <c r="E130" s="80">
        <v>872</v>
      </c>
      <c r="F130" s="52"/>
      <c r="G130" s="49"/>
      <c r="H130" s="50"/>
      <c r="I130" s="49"/>
    </row>
    <row r="131" spans="1:9" s="41" customFormat="1" ht="103.5" customHeight="1">
      <c r="A131" s="47"/>
      <c r="B131" s="45" t="s">
        <v>135</v>
      </c>
      <c r="C131" s="86">
        <v>10492</v>
      </c>
      <c r="D131" s="80">
        <v>10897</v>
      </c>
      <c r="E131" s="80">
        <v>11318</v>
      </c>
      <c r="F131" s="52"/>
      <c r="G131" s="49"/>
      <c r="H131" s="50"/>
      <c r="I131" s="49"/>
    </row>
    <row r="132" spans="1:9" s="41" customFormat="1" ht="102" customHeight="1">
      <c r="A132" s="47"/>
      <c r="B132" s="46" t="s">
        <v>136</v>
      </c>
      <c r="C132" s="86">
        <v>6165</v>
      </c>
      <c r="D132" s="80">
        <v>6282</v>
      </c>
      <c r="E132" s="80">
        <v>6295</v>
      </c>
      <c r="F132" s="52"/>
      <c r="G132" s="49"/>
      <c r="H132" s="50"/>
      <c r="I132" s="49"/>
    </row>
    <row r="133" spans="1:9" s="41" customFormat="1" ht="108" customHeight="1">
      <c r="A133" s="47"/>
      <c r="B133" s="46" t="s">
        <v>137</v>
      </c>
      <c r="C133" s="86">
        <v>9090</v>
      </c>
      <c r="D133" s="80">
        <v>9090</v>
      </c>
      <c r="E133" s="80">
        <v>9090</v>
      </c>
      <c r="F133" s="52"/>
      <c r="G133" s="49"/>
      <c r="H133" s="50"/>
      <c r="I133" s="49"/>
    </row>
    <row r="134" spans="1:9" s="41" customFormat="1" ht="87.75" customHeight="1">
      <c r="A134" s="47"/>
      <c r="B134" s="46" t="s">
        <v>138</v>
      </c>
      <c r="C134" s="86">
        <v>5533</v>
      </c>
      <c r="D134" s="80">
        <v>5533</v>
      </c>
      <c r="E134" s="80">
        <v>5533</v>
      </c>
      <c r="F134" s="52"/>
      <c r="G134" s="49"/>
      <c r="H134" s="50"/>
      <c r="I134" s="49"/>
    </row>
    <row r="135" spans="1:9" s="41" customFormat="1" ht="86.25" customHeight="1">
      <c r="A135" s="47"/>
      <c r="B135" s="46" t="s">
        <v>139</v>
      </c>
      <c r="C135" s="86">
        <v>708</v>
      </c>
      <c r="D135" s="80">
        <v>708</v>
      </c>
      <c r="E135" s="80">
        <v>708</v>
      </c>
      <c r="F135" s="52"/>
      <c r="G135" s="49"/>
      <c r="H135" s="50"/>
      <c r="I135" s="49"/>
    </row>
    <row r="136" spans="1:9" s="41" customFormat="1" ht="228" customHeight="1">
      <c r="A136" s="47"/>
      <c r="B136" s="46" t="s">
        <v>140</v>
      </c>
      <c r="C136" s="86">
        <v>989</v>
      </c>
      <c r="D136" s="80">
        <v>989</v>
      </c>
      <c r="E136" s="80">
        <v>989</v>
      </c>
      <c r="F136" s="52"/>
      <c r="G136" s="49"/>
      <c r="H136" s="50"/>
      <c r="I136" s="49"/>
    </row>
    <row r="137" spans="1:9" s="41" customFormat="1" ht="200.25" customHeight="1">
      <c r="A137" s="47"/>
      <c r="B137" s="46" t="s">
        <v>141</v>
      </c>
      <c r="C137" s="80">
        <v>3458</v>
      </c>
      <c r="D137" s="80">
        <v>3458</v>
      </c>
      <c r="E137" s="80">
        <v>3458</v>
      </c>
      <c r="F137" s="52"/>
      <c r="G137" s="49"/>
      <c r="H137" s="50"/>
      <c r="I137" s="49"/>
    </row>
    <row r="138" spans="1:9" s="41" customFormat="1" ht="111.75" customHeight="1">
      <c r="A138" s="47"/>
      <c r="B138" s="46" t="s">
        <v>142</v>
      </c>
      <c r="C138" s="80">
        <v>3588</v>
      </c>
      <c r="D138" s="80">
        <v>3588</v>
      </c>
      <c r="E138" s="80">
        <v>3588</v>
      </c>
      <c r="F138" s="52"/>
      <c r="G138" s="49"/>
      <c r="H138" s="50"/>
      <c r="I138" s="49"/>
    </row>
    <row r="139" spans="1:9" s="41" customFormat="1" ht="90" customHeight="1">
      <c r="A139" s="47"/>
      <c r="B139" s="46" t="s">
        <v>143</v>
      </c>
      <c r="C139" s="80">
        <v>18391</v>
      </c>
      <c r="D139" s="80">
        <v>18391</v>
      </c>
      <c r="E139" s="80">
        <v>18391</v>
      </c>
      <c r="F139" s="52"/>
      <c r="G139" s="49"/>
      <c r="H139" s="50"/>
      <c r="I139" s="49"/>
    </row>
    <row r="140" spans="1:9" s="41" customFormat="1" ht="90" customHeight="1">
      <c r="A140" s="47"/>
      <c r="B140" s="46" t="s">
        <v>214</v>
      </c>
      <c r="C140" s="80">
        <v>597</v>
      </c>
      <c r="D140" s="80">
        <v>1194</v>
      </c>
      <c r="E140" s="80">
        <v>1194</v>
      </c>
      <c r="F140" s="52"/>
      <c r="G140" s="49"/>
      <c r="H140" s="50"/>
      <c r="I140" s="49"/>
    </row>
    <row r="141" spans="1:9" s="41" customFormat="1" ht="109.5" customHeight="1">
      <c r="A141" s="47"/>
      <c r="B141" s="46" t="s">
        <v>172</v>
      </c>
      <c r="C141" s="80">
        <v>2338.46</v>
      </c>
      <c r="D141" s="80">
        <v>2338.46</v>
      </c>
      <c r="E141" s="80">
        <v>2338.46</v>
      </c>
      <c r="F141" s="52"/>
      <c r="G141" s="49"/>
      <c r="H141" s="50"/>
      <c r="I141" s="49"/>
    </row>
    <row r="142" spans="1:9" ht="105.75" customHeight="1">
      <c r="A142" s="18" t="s">
        <v>64</v>
      </c>
      <c r="B142" s="17" t="s">
        <v>65</v>
      </c>
      <c r="C142" s="73">
        <v>63838</v>
      </c>
      <c r="D142" s="75">
        <v>63838</v>
      </c>
      <c r="E142" s="75">
        <v>63838</v>
      </c>
      <c r="F142" s="51"/>
      <c r="G142" s="9"/>
      <c r="H142" s="9"/>
      <c r="I142" s="9"/>
    </row>
    <row r="143" spans="1:9" ht="82.5" customHeight="1">
      <c r="A143" s="18" t="s">
        <v>69</v>
      </c>
      <c r="B143" s="17" t="s">
        <v>225</v>
      </c>
      <c r="C143" s="73">
        <f>76255+66622</f>
        <v>142877</v>
      </c>
      <c r="D143" s="75">
        <v>76255</v>
      </c>
      <c r="E143" s="75">
        <v>40851</v>
      </c>
      <c r="F143" s="51"/>
      <c r="G143" s="9"/>
      <c r="H143" s="9"/>
      <c r="I143" s="9"/>
    </row>
    <row r="144" spans="1:9" ht="72" customHeight="1">
      <c r="A144" s="18" t="s">
        <v>70</v>
      </c>
      <c r="B144" s="17" t="s">
        <v>224</v>
      </c>
      <c r="C144" s="73">
        <v>1672</v>
      </c>
      <c r="D144" s="75">
        <v>154</v>
      </c>
      <c r="E144" s="75">
        <v>95</v>
      </c>
      <c r="F144" s="51"/>
      <c r="G144" s="9"/>
      <c r="H144" s="9"/>
      <c r="I144" s="9"/>
    </row>
    <row r="145" spans="1:9" ht="120.75" customHeight="1">
      <c r="A145" s="18" t="s">
        <v>178</v>
      </c>
      <c r="B145" s="17" t="s">
        <v>179</v>
      </c>
      <c r="C145" s="73">
        <v>2759</v>
      </c>
      <c r="D145" s="75">
        <v>0</v>
      </c>
      <c r="E145" s="75">
        <v>0</v>
      </c>
      <c r="F145" s="51"/>
      <c r="G145" s="9"/>
      <c r="H145" s="9"/>
      <c r="I145" s="9"/>
    </row>
    <row r="146" spans="1:9" ht="84" customHeight="1">
      <c r="A146" s="18" t="s">
        <v>106</v>
      </c>
      <c r="B146" s="17" t="s">
        <v>105</v>
      </c>
      <c r="C146" s="73">
        <v>1366</v>
      </c>
      <c r="D146" s="75">
        <v>0</v>
      </c>
      <c r="E146" s="75">
        <v>0</v>
      </c>
      <c r="F146" s="51"/>
      <c r="G146" s="9"/>
      <c r="H146" s="9"/>
      <c r="I146" s="9"/>
    </row>
    <row r="147" spans="1:9" ht="80.25" customHeight="1">
      <c r="A147" s="18" t="s">
        <v>206</v>
      </c>
      <c r="B147" s="17" t="s">
        <v>207</v>
      </c>
      <c r="C147" s="73">
        <v>82026</v>
      </c>
      <c r="D147" s="75"/>
      <c r="E147" s="75"/>
      <c r="F147" s="51"/>
      <c r="G147" s="9"/>
      <c r="H147" s="9"/>
      <c r="I147" s="9"/>
    </row>
    <row r="148" spans="1:9" ht="37.5" customHeight="1">
      <c r="A148" s="18" t="s">
        <v>66</v>
      </c>
      <c r="B148" s="17" t="s">
        <v>127</v>
      </c>
      <c r="C148" s="73">
        <f>C150+C151+C149</f>
        <v>3168447</v>
      </c>
      <c r="D148" s="73">
        <f>D150+D151+G150</f>
        <v>2988133</v>
      </c>
      <c r="E148" s="73">
        <f>E150+E151+H150</f>
        <v>2990427</v>
      </c>
      <c r="F148" s="51"/>
      <c r="G148" s="9"/>
      <c r="H148" s="9"/>
      <c r="I148" s="9"/>
    </row>
    <row r="149" spans="1:9" ht="63" customHeight="1">
      <c r="A149" s="18"/>
      <c r="B149" s="17" t="s">
        <v>173</v>
      </c>
      <c r="C149" s="73">
        <f>3566-3566</f>
        <v>0</v>
      </c>
      <c r="D149" s="73">
        <v>0</v>
      </c>
      <c r="E149" s="73">
        <v>0</v>
      </c>
      <c r="F149" s="51"/>
      <c r="G149" s="9"/>
      <c r="H149" s="9"/>
      <c r="I149" s="9"/>
    </row>
    <row r="150" spans="1:9" ht="192" customHeight="1">
      <c r="A150" s="18"/>
      <c r="B150" s="46" t="s">
        <v>125</v>
      </c>
      <c r="C150" s="80">
        <f>76109+13691</f>
        <v>89800</v>
      </c>
      <c r="D150" s="80">
        <v>76109</v>
      </c>
      <c r="E150" s="85">
        <v>76109</v>
      </c>
      <c r="F150" s="51"/>
      <c r="G150" s="9"/>
      <c r="H150" s="9"/>
      <c r="I150" s="9"/>
    </row>
    <row r="151" spans="1:9" ht="230.25" customHeight="1">
      <c r="A151" s="18"/>
      <c r="B151" s="46" t="s">
        <v>126</v>
      </c>
      <c r="C151" s="80">
        <f>2831659+80365-82026+228918+19731</f>
        <v>3078647</v>
      </c>
      <c r="D151" s="80">
        <f>2831659+80365</f>
        <v>2912024</v>
      </c>
      <c r="E151" s="85">
        <f>2833924+80394</f>
        <v>2914318</v>
      </c>
      <c r="F151" s="51"/>
      <c r="G151" s="9"/>
      <c r="H151" s="9"/>
      <c r="I151" s="9"/>
    </row>
    <row r="152" spans="1:9" ht="41.25" customHeight="1">
      <c r="A152" s="13" t="s">
        <v>41</v>
      </c>
      <c r="B152" s="14" t="s">
        <v>40</v>
      </c>
      <c r="C152" s="68">
        <f>C155+C153+C154</f>
        <v>895578.884</v>
      </c>
      <c r="D152" s="68">
        <f>D155+D153+D154</f>
        <v>211618</v>
      </c>
      <c r="E152" s="68">
        <f>E155+E153+E154</f>
        <v>4500</v>
      </c>
      <c r="F152" s="51"/>
      <c r="G152" s="9"/>
      <c r="H152" s="9"/>
      <c r="I152" s="9"/>
    </row>
    <row r="153" spans="1:9" ht="41.25" customHeight="1">
      <c r="A153" s="18" t="s">
        <v>174</v>
      </c>
      <c r="B153" s="17" t="s">
        <v>175</v>
      </c>
      <c r="C153" s="69">
        <v>5000</v>
      </c>
      <c r="D153" s="69">
        <v>0</v>
      </c>
      <c r="E153" s="69">
        <v>0</v>
      </c>
      <c r="F153" s="51"/>
      <c r="G153" s="9"/>
      <c r="H153" s="9"/>
      <c r="I153" s="9"/>
    </row>
    <row r="154" spans="1:9" ht="41.25" customHeight="1">
      <c r="A154" s="18" t="s">
        <v>212</v>
      </c>
      <c r="B154" s="17" t="s">
        <v>213</v>
      </c>
      <c r="C154" s="69">
        <v>66.69</v>
      </c>
      <c r="D154" s="69"/>
      <c r="E154" s="69"/>
      <c r="F154" s="51"/>
      <c r="G154" s="9"/>
      <c r="H154" s="9"/>
      <c r="I154" s="9"/>
    </row>
    <row r="155" spans="1:9" ht="57.75" customHeight="1">
      <c r="A155" s="18" t="s">
        <v>72</v>
      </c>
      <c r="B155" s="17" t="s">
        <v>73</v>
      </c>
      <c r="C155" s="69">
        <f>44300+2000+388022+157491+2515+27186+220000+11697+30772+6529.194</f>
        <v>890512.194</v>
      </c>
      <c r="D155" s="75">
        <f>2000+567200-381342+23760</f>
        <v>211618</v>
      </c>
      <c r="E155" s="75">
        <v>4500</v>
      </c>
      <c r="F155" s="51"/>
      <c r="G155" s="9"/>
      <c r="H155" s="9"/>
      <c r="I155" s="9"/>
    </row>
    <row r="156" spans="1:9" ht="57.75" customHeight="1">
      <c r="A156" s="12" t="s">
        <v>208</v>
      </c>
      <c r="B156" s="14" t="s">
        <v>209</v>
      </c>
      <c r="C156" s="68">
        <v>252.26</v>
      </c>
      <c r="D156" s="91"/>
      <c r="E156" s="91"/>
      <c r="F156" s="51"/>
      <c r="G156" s="9"/>
      <c r="H156" s="9"/>
      <c r="I156" s="9"/>
    </row>
    <row r="157" spans="1:9" ht="57.75" customHeight="1">
      <c r="A157" s="83" t="s">
        <v>196</v>
      </c>
      <c r="B157" s="84" t="s">
        <v>197</v>
      </c>
      <c r="C157" s="69">
        <f>38855.4+60000-37122.46+109624+199.997+596</f>
        <v>172152.937</v>
      </c>
      <c r="D157" s="75">
        <v>0</v>
      </c>
      <c r="E157" s="75">
        <v>0</v>
      </c>
      <c r="F157" s="51"/>
      <c r="G157" s="9"/>
      <c r="H157" s="9"/>
      <c r="I157" s="9"/>
    </row>
    <row r="158" spans="1:9" ht="57.75" customHeight="1">
      <c r="A158" s="83" t="s">
        <v>198</v>
      </c>
      <c r="B158" s="84" t="s">
        <v>199</v>
      </c>
      <c r="C158" s="69">
        <f>-40966.3+37046.8</f>
        <v>-3919.5</v>
      </c>
      <c r="D158" s="75">
        <v>0</v>
      </c>
      <c r="E158" s="75">
        <v>0</v>
      </c>
      <c r="F158" s="51"/>
      <c r="G158" s="9"/>
      <c r="H158" s="9"/>
      <c r="I158" s="9"/>
    </row>
    <row r="159" spans="1:9" ht="57" customHeight="1">
      <c r="A159" s="21"/>
      <c r="B159" s="37" t="s">
        <v>25</v>
      </c>
      <c r="C159" s="72">
        <f>C21+C62</f>
        <v>15284557.336522054</v>
      </c>
      <c r="D159" s="72">
        <f>D21+D62</f>
        <v>12781462.92726436</v>
      </c>
      <c r="E159" s="72">
        <f>E21+E62</f>
        <v>9898049.76956923</v>
      </c>
      <c r="F159" s="51"/>
      <c r="G159" s="9"/>
      <c r="H159" s="9"/>
      <c r="I159" s="9"/>
    </row>
    <row r="160" spans="1:6" ht="32.25" customHeight="1">
      <c r="A160" s="98"/>
      <c r="B160" s="98"/>
      <c r="C160" s="98"/>
      <c r="F160" s="40"/>
    </row>
    <row r="161" ht="15">
      <c r="F161" s="40"/>
    </row>
    <row r="162" spans="3:6" ht="15">
      <c r="C162" s="89"/>
      <c r="F162" s="40"/>
    </row>
    <row r="163" spans="3:6" ht="15">
      <c r="C163" s="89"/>
      <c r="F163" s="40"/>
    </row>
    <row r="164" spans="3:6" ht="15">
      <c r="C164" s="89"/>
      <c r="F164" s="40"/>
    </row>
    <row r="165" spans="3:6" ht="15">
      <c r="C165" s="89"/>
      <c r="F165" s="40"/>
    </row>
    <row r="166" spans="3:6" ht="15">
      <c r="C166" s="90"/>
      <c r="F166" s="40"/>
    </row>
    <row r="167" ht="15">
      <c r="F167" s="40"/>
    </row>
    <row r="168" ht="15">
      <c r="F168" s="40"/>
    </row>
    <row r="169" ht="15">
      <c r="F169" s="40"/>
    </row>
    <row r="170" ht="15">
      <c r="F170" s="40"/>
    </row>
    <row r="171" ht="15">
      <c r="F171" s="40"/>
    </row>
    <row r="172" ht="15">
      <c r="F172" s="40"/>
    </row>
    <row r="173" ht="15">
      <c r="F173" s="40"/>
    </row>
    <row r="174" ht="15">
      <c r="F174" s="40"/>
    </row>
    <row r="175" ht="15">
      <c r="F175" s="40"/>
    </row>
    <row r="176" ht="15">
      <c r="F176" s="40"/>
    </row>
    <row r="177" ht="15">
      <c r="F177" s="40"/>
    </row>
    <row r="178" ht="15">
      <c r="F178" s="40"/>
    </row>
    <row r="179" ht="15">
      <c r="F179" s="40"/>
    </row>
    <row r="180" ht="15">
      <c r="F180" s="40"/>
    </row>
    <row r="181" ht="15">
      <c r="F181" s="40"/>
    </row>
    <row r="206" ht="14.25" customHeight="1"/>
    <row r="207" ht="0.75" customHeight="1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2.25" customHeight="1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0.75" customHeight="1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0.75" customHeight="1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0.75" customHeight="1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0.75" customHeight="1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0.75" customHeight="1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2.25" customHeight="1" hidden="1"/>
    <row r="358" ht="15" hidden="1"/>
    <row r="359" ht="15" hidden="1"/>
    <row r="360" ht="15" hidden="1"/>
    <row r="361" ht="15" hidden="1"/>
    <row r="362" ht="15" hidden="1"/>
    <row r="363" ht="0.75" customHeight="1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0.75" customHeight="1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8" customHeight="1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0.75" customHeight="1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2.25" customHeight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0.75" customHeight="1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</sheetData>
  <sheetProtection/>
  <autoFilter ref="A20:K159"/>
  <mergeCells count="6">
    <mergeCell ref="A15:E15"/>
    <mergeCell ref="D18:E18"/>
    <mergeCell ref="A160:C160"/>
    <mergeCell ref="A18:A19"/>
    <mergeCell ref="B18:B19"/>
    <mergeCell ref="C18:C19"/>
  </mergeCells>
  <printOptions/>
  <pageMargins left="1.3779527559055118" right="0.3937007874015748" top="0.7874015748031497" bottom="0.7874015748031497" header="0.5118110236220472" footer="0.5118110236220472"/>
  <pageSetup fitToHeight="0" fitToWidth="1" orientation="portrait" paperSize="9" scale="52" r:id="rId1"/>
  <headerFooter alignWithMargins="0">
    <oddHeader>&amp;C&amp;P</oddHeader>
  </headerFooter>
  <rowBreaks count="2" manualBreakCount="2">
    <brk id="41" max="4" man="1"/>
    <brk id="1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Ольга С. Родионова</cp:lastModifiedBy>
  <cp:lastPrinted>2022-09-12T07:54:11Z</cp:lastPrinted>
  <dcterms:created xsi:type="dcterms:W3CDTF">2004-01-05T10:01:36Z</dcterms:created>
  <dcterms:modified xsi:type="dcterms:W3CDTF">2022-09-26T06:29:16Z</dcterms:modified>
  <cp:category/>
  <cp:version/>
  <cp:contentType/>
  <cp:contentStatus/>
</cp:coreProperties>
</file>