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8" activeTab="0"/>
  </bookViews>
  <sheets>
    <sheet name="2018 год " sheetId="1" r:id="rId1"/>
  </sheets>
  <definedNames>
    <definedName name="_xlnm._FilterDatabase" localSheetId="0" hidden="1">'2018 год '!$A$13:$I$1052</definedName>
    <definedName name="Z_2EB26682_1E14_41BF_A300_9871E16F1E86_.wvu.FilterData" localSheetId="0" hidden="1">'2018 год '!$A$14:$F$1052</definedName>
    <definedName name="Z_2EB26682_1E14_41BF_A300_9871E16F1E86_.wvu.PrintArea" localSheetId="0" hidden="1">'2018 год '!$A$1:$F$1052</definedName>
    <definedName name="Z_3708D406_71C9_49CC_A67A_2D2190B41A82_.wvu.FilterData" localSheetId="0" hidden="1">'2018 год '!$A$14:$I$1052</definedName>
    <definedName name="Z_742DD9F2_8A71_4480_AC11_A74320E5619E_.wvu.FilterData" localSheetId="0" hidden="1">'2018 год '!$A$14:$I$1052</definedName>
    <definedName name="Z_829AF458_32E9_4EBE_8AEA_C1C6BE533EAE_.wvu.FilterData" localSheetId="0" hidden="1">'2018 год '!$A$14:$I$1052</definedName>
    <definedName name="Z_829AF458_32E9_4EBE_8AEA_C1C6BE533EAE_.wvu.PrintArea" localSheetId="0" hidden="1">'2018 год '!$A$1:$F$1068</definedName>
    <definedName name="Z_829AF458_32E9_4EBE_8AEA_C1C6BE533EAE_.wvu.PrintTitles" localSheetId="0" hidden="1">'2018 год '!$11:$13</definedName>
    <definedName name="Z_829AF458_32E9_4EBE_8AEA_C1C6BE533EAE_.wvu.Rows" localSheetId="0" hidden="1">'2018 год '!#REF!</definedName>
    <definedName name="Z_8E538972_DCB6_4DF0_B6A0_1DAF22EE85A5_.wvu.FilterData" localSheetId="0" hidden="1">'2018 год '!$A$14:$F$1052</definedName>
    <definedName name="Z_8E538972_DCB6_4DF0_B6A0_1DAF22EE85A5_.wvu.PrintArea" localSheetId="0" hidden="1">'2018 год '!$A$1:$F$1052</definedName>
    <definedName name="Z_9EB2C763_BF55_421A_9B12_FB75DAF70818_.wvu.FilterData" localSheetId="0" hidden="1">'2018 год '!$A$10:$F$1052</definedName>
    <definedName name="Z_A8461B4A_AE19_4EF2_B6F9_F9B973A06FD1_.wvu.FilterData" localSheetId="0" hidden="1">'2018 год '!$A$14:$F$1052</definedName>
    <definedName name="Z_A8461B4A_AE19_4EF2_B6F9_F9B973A06FD1_.wvu.PrintArea" localSheetId="0" hidden="1">'2018 год '!$A$1:$F$1052</definedName>
    <definedName name="Z_B3932895_A846_447D_8D2E_8A665303D3FC_.wvu.FilterData" localSheetId="0" hidden="1">'2018 год '!$A$10:$F$1052</definedName>
    <definedName name="Z_B452F1D7_E242_4E66_AEEE_75884A98B5E4_.wvu.FilterData" localSheetId="0" hidden="1">'2018 год '!$A$14:$I$1052</definedName>
    <definedName name="Z_D0B00AD6_8582_4105_AEEE_647425D7F180_.wvu.FilterData" localSheetId="0" hidden="1">'2018 год '!$A$10:$F$1052</definedName>
    <definedName name="Z_DEEAFF70_302D_4EE4_8D9C_7BB1BBA5AB30_.wvu.FilterData" localSheetId="0" hidden="1">'2018 год '!$A$14:$I$1052</definedName>
    <definedName name="Z_E26F76F3_B5FD_4390_A599_DF837A45612F_.wvu.FilterData" localSheetId="0" hidden="1">'2018 год '!$A$10:$F$1052</definedName>
    <definedName name="Z_E6BE4A0A_65C8_4D78_A29F_DDA803BF07E4_.wvu.FilterData" localSheetId="0" hidden="1">'2018 год '!$A$14:$F$1052</definedName>
    <definedName name="Z_E6BE4A0A_65C8_4D78_A29F_DDA803BF07E4_.wvu.PrintArea" localSheetId="0" hidden="1">'2018 год '!$A$1:$F$1052</definedName>
    <definedName name="Z_F18CDA44_02C6_4BCD_94BC_76E4781E3F1C_.wvu.FilterData" localSheetId="0" hidden="1">'2018 год '!$A$14:$F$1052</definedName>
    <definedName name="Z_F18CDA44_02C6_4BCD_94BC_76E4781E3F1C_.wvu.PrintArea" localSheetId="0" hidden="1">'2018 год '!$A$1:$F$1052</definedName>
    <definedName name="_xlnm.Print_Titles" localSheetId="0">'2018 год '!$12:$13</definedName>
    <definedName name="_xlnm.Print_Area" localSheetId="0">'2018 год '!$A$1:$I$1052</definedName>
  </definedNames>
  <calcPr fullCalcOnLoad="1" refMode="R1C1"/>
</workbook>
</file>

<file path=xl/sharedStrings.xml><?xml version="1.0" encoding="utf-8"?>
<sst xmlns="http://schemas.openxmlformats.org/spreadsheetml/2006/main" count="3661" uniqueCount="737">
  <si>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</si>
  <si>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</si>
  <si>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</si>
  <si>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</si>
  <si>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</si>
  <si>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</si>
  <si>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</si>
  <si>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</si>
  <si>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</si>
  <si>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</si>
  <si>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</si>
  <si>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</si>
  <si>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</si>
  <si>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</si>
  <si>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</si>
  <si>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</si>
  <si>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</si>
  <si>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</si>
  <si>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</si>
  <si>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</si>
  <si>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</si>
  <si>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</si>
  <si>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</si>
  <si>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</si>
  <si>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</si>
  <si>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</si>
  <si>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</si>
  <si>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</si>
  <si>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</si>
  <si>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</si>
  <si>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</si>
  <si>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</si>
  <si>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</si>
  <si>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</si>
  <si>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</si>
  <si>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</si>
  <si>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</si>
  <si>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</si>
  <si>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</si>
  <si>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</si>
  <si>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</si>
  <si>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</si>
  <si>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</si>
  <si>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</si>
  <si>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</si>
  <si>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</si>
  <si>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</si>
  <si>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</si>
  <si>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</si>
  <si>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</si>
  <si>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</si>
  <si>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</si>
  <si>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</si>
  <si>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</si>
  <si>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</si>
  <si>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</si>
  <si>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</si>
  <si>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</si>
  <si>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</si>
  <si>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</si>
  <si>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</si>
  <si>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</si>
  <si>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</si>
  <si>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</si>
  <si>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</si>
  <si>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</si>
  <si>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</si>
  <si>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</si>
  <si>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</si>
  <si>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</si>
  <si>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</si>
  <si>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</si>
  <si>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</si>
  <si>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</si>
  <si>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</si>
  <si>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</si>
  <si>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</si>
  <si>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</si>
  <si>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</si>
  <si>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</si>
  <si>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</si>
  <si>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</si>
  <si>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</si>
  <si>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</si>
  <si>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</si>
  <si>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</si>
  <si>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</si>
  <si>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</si>
  <si>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</si>
  <si>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</si>
  <si>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</si>
  <si>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</si>
  <si>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</si>
  <si>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</si>
  <si>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</si>
  <si>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</si>
  <si>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</si>
  <si>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</si>
  <si>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</si>
  <si>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</si>
  <si>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</si>
  <si>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</si>
  <si>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</si>
  <si>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</si>
  <si>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</si>
  <si>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</si>
  <si>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</si>
  <si>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</si>
  <si>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</si>
  <si>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</si>
  <si>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</si>
  <si>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</si>
  <si>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</si>
  <si>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</si>
  <si>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</si>
  <si>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</si>
  <si>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</si>
  <si>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</si>
  <si>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</si>
  <si>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</si>
  <si>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</si>
  <si>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</si>
  <si>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</si>
  <si>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</si>
  <si>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</si>
  <si>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</si>
  <si>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</si>
  <si>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</si>
  <si>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</si>
  <si>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</si>
  <si>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</si>
  <si>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</si>
  <si>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</si>
  <si>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</si>
  <si>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</si>
  <si>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</si>
  <si>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</si>
  <si>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</si>
  <si>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</si>
  <si>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</si>
  <si>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</si>
  <si>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</si>
  <si>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</si>
  <si>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</si>
  <si>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</si>
  <si>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</si>
  <si>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</si>
  <si>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</si>
  <si>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</si>
  <si>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</si>
  <si>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</si>
  <si>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</si>
  <si>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</si>
  <si>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</si>
  <si>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</si>
  <si>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</si>
  <si>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</si>
  <si>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</si>
  <si>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</si>
  <si>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</si>
  <si>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</si>
  <si>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</si>
  <si>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</si>
  <si>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</si>
  <si>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</si>
  <si>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</si>
  <si>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</si>
  <si>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</si>
  <si>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</si>
  <si>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</si>
  <si>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</si>
  <si>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</si>
  <si>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</si>
  <si>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</si>
  <si>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</si>
  <si>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</si>
  <si>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</si>
  <si>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</si>
  <si>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</si>
  <si>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</si>
  <si>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</si>
  <si>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</si>
  <si>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</si>
  <si>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</si>
  <si>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</si>
  <si>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</si>
  <si>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</si>
  <si>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</si>
  <si>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</si>
  <si>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</si>
  <si>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</si>
  <si>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</si>
  <si>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</si>
  <si>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</si>
  <si>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</si>
  <si>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</si>
  <si>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</si>
  <si>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</si>
  <si>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</si>
  <si>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12 5 00 00600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</si>
  <si>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</si>
  <si>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</si>
  <si>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</si>
  <si>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</si>
  <si>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</si>
  <si>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</si>
  <si>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</si>
  <si>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</si>
  <si>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</si>
  <si>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</si>
  <si>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</si>
  <si>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</si>
  <si>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</si>
  <si>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</si>
  <si>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</si>
  <si>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</si>
  <si>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</si>
  <si>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</si>
  <si>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</si>
  <si>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</si>
  <si>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</si>
  <si>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Софинансирование субсидии на реализацию подпрограммы "Обеспечение жильем молодых семей"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</si>
  <si>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</si>
  <si>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</si>
  <si>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</si>
  <si>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</si>
  <si>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</si>
  <si>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</si>
  <si>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</si>
  <si>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1 00 S0600</t>
  </si>
  <si>
    <t>03 1 00 S2130</t>
  </si>
  <si>
    <t>03 2 00 S2260</t>
  </si>
  <si>
    <t>03 2 00 S2270</t>
  </si>
  <si>
    <t>03 2 00 S0600</t>
  </si>
  <si>
    <t>03 2 00 S2310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</si>
  <si>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</si>
  <si>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</si>
  <si>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</si>
  <si>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</si>
  <si>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</si>
  <si>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</si>
  <si>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</si>
  <si>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</si>
  <si>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</si>
  <si>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</si>
  <si>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</si>
  <si>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</si>
  <si>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</si>
  <si>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</si>
  <si>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</si>
  <si>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</si>
  <si>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</si>
  <si>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</si>
  <si>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</si>
  <si>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</si>
  <si>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</si>
  <si>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</si>
  <si>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</si>
  <si>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</si>
  <si>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</si>
  <si>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</si>
  <si>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19 0 00 00640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</si>
  <si>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</si>
  <si>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</si>
  <si>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</si>
  <si>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Создание условий для развития туризма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</si>
  <si>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</si>
  <si>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</si>
  <si>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</si>
  <si>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</si>
  <si>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</si>
  <si>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</si>
  <si>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</si>
  <si>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</si>
  <si>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</si>
  <si>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</si>
  <si>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</si>
  <si>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</si>
  <si>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</si>
  <si>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</si>
  <si>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</si>
  <si>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</si>
  <si>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</si>
  <si>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</si>
  <si>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</si>
  <si>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</si>
  <si>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</si>
  <si>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</si>
  <si>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</si>
  <si>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</si>
  <si>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</si>
  <si>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</si>
  <si>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</si>
  <si>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</si>
  <si>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</si>
  <si>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</si>
  <si>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</si>
  <si>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</si>
  <si>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</si>
  <si>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</si>
  <si>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</si>
  <si>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</si>
  <si>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</si>
  <si>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</si>
  <si>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</si>
  <si>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</si>
  <si>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</si>
  <si>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</si>
  <si>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</si>
  <si>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</si>
  <si>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</si>
  <si>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</si>
  <si>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</si>
  <si>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</si>
  <si>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</si>
  <si>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</si>
  <si>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</si>
  <si>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</si>
  <si>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</si>
  <si>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</si>
  <si>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</si>
  <si>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</si>
  <si>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</si>
  <si>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</si>
  <si>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</si>
  <si>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</si>
  <si>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</si>
  <si>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</si>
  <si>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</si>
  <si>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</si>
  <si>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</si>
  <si>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</si>
  <si>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</si>
  <si>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</si>
  <si>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</si>
  <si>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</si>
  <si>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</si>
  <si>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03 2 00 S4480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</si>
  <si>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</si>
  <si>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</si>
  <si>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</si>
  <si>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</si>
  <si>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</si>
  <si>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</si>
  <si>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</si>
  <si>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</si>
  <si>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</si>
  <si>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</si>
  <si>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</si>
  <si>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</si>
  <si>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</si>
  <si>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</si>
  <si>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</si>
  <si>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</si>
  <si>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</si>
  <si>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</si>
  <si>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</si>
  <si>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</si>
  <si>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</si>
  <si>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</si>
  <si>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</si>
  <si>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</si>
  <si>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</si>
  <si>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</si>
  <si>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</si>
  <si>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</si>
  <si>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</si>
  <si>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</si>
  <si>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</si>
  <si>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</si>
  <si>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</si>
  <si>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</si>
  <si>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</si>
  <si>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</si>
  <si>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</si>
  <si>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</si>
  <si>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</si>
  <si>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</si>
  <si>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</si>
  <si>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</si>
  <si>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</si>
  <si>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</si>
  <si>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</si>
  <si>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</si>
  <si>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</si>
  <si>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</si>
  <si>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</si>
  <si>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</si>
  <si>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</si>
  <si>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</si>
  <si>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</si>
  <si>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</si>
  <si>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</si>
  <si>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</si>
  <si>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</si>
  <si>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</si>
  <si>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</si>
  <si>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</si>
  <si>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</si>
  <si>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</si>
  <si>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</si>
  <si>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</si>
  <si>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</si>
  <si>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</si>
  <si>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</si>
  <si>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</si>
  <si>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</si>
  <si>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</si>
  <si>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</si>
  <si>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</si>
  <si>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</si>
  <si>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</si>
  <si>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</si>
  <si>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</si>
  <si>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</si>
  <si>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</si>
  <si>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</si>
  <si>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</si>
  <si>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</si>
  <si>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</si>
  <si>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</si>
  <si>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</si>
  <si>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</si>
  <si>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</si>
  <si>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</si>
  <si>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</si>
  <si>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</si>
  <si>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</si>
  <si>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</si>
  <si>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</si>
  <si>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</si>
  <si>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</si>
  <si>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</si>
  <si>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</si>
  <si>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</si>
  <si>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</si>
  <si>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</si>
  <si>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</si>
  <si>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</si>
  <si>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</si>
  <si>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Денежные выплаты почетным гражданам Сергиево-Посадского муниципального района</t>
  </si>
  <si>
    <t>12 5 00 90000</t>
  </si>
  <si>
    <t>02 1 00 L5190</t>
  </si>
  <si>
    <t>Субвенция на обеспечение жильем граждан, уволенных с военной службы (службы), и приравненных к ним лиц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</si>
  <si>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</si>
  <si>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Субсидии на капитальные вложения в общеобразовательные организации в целях обеспечения односменного режима обучения</t>
  </si>
  <si>
    <t>03 2 00 84480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</si>
  <si>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</si>
  <si>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02 3 00 S2360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</si>
  <si>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</si>
  <si>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</si>
  <si>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13 0 00 88780</t>
  </si>
  <si>
    <t>Размещение материалов в электонных средствах массовой информации</t>
  </si>
  <si>
    <t>05 1 13 88820</t>
  </si>
  <si>
    <t>Софинансирование на обеспечение современными аппаратно-программными комплексами общеобразовательных организаций в Московской области</t>
  </si>
  <si>
    <t>03 2 00 S2490</t>
  </si>
  <si>
    <t xml:space="preserve">Софинансирование расходов на повышение заработной платы работникам муниципальных учреждений в сфере культуры 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</si>
  <si>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</si>
  <si>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</si>
  <si>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</si>
  <si>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</si>
  <si>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</si>
  <si>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</si>
  <si>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</si>
  <si>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</si>
  <si>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</si>
  <si>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</si>
  <si>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03 2 00 62270</t>
  </si>
  <si>
    <t>03 2 00 64480</t>
  </si>
  <si>
    <t>02 3 00 62360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</si>
  <si>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</si>
  <si>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</si>
  <si>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</si>
  <si>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</si>
  <si>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</si>
  <si>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</si>
  <si>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</si>
  <si>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03 2 00 62260</t>
  </si>
  <si>
    <t>03 3 00 62190</t>
  </si>
  <si>
    <t>Субсидия на мероприятия по организации отдыха детей в каникулярное время</t>
  </si>
  <si>
    <t>14 2 00 60240</t>
  </si>
  <si>
    <t>14 2 00 08006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</si>
  <si>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</si>
  <si>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</si>
  <si>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</si>
  <si>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</si>
  <si>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</si>
  <si>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</si>
  <si>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</si>
  <si>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</si>
  <si>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</si>
  <si>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</si>
  <si>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</si>
  <si>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</si>
  <si>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</si>
  <si>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</si>
  <si>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</si>
  <si>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</si>
  <si>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</si>
  <si>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</si>
  <si>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</si>
  <si>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02 6 00 00000</t>
  </si>
  <si>
    <t>02 6 00 60440</t>
  </si>
  <si>
    <t xml:space="preserve">Субсидия на софинансирование расходов на повышение заработной платы работникам муниципальных учреждений в сфере культуры 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</si>
  <si>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</si>
  <si>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17 0 00 62680</t>
  </si>
  <si>
    <t>17 0 00 60860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</si>
  <si>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</si>
  <si>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06 0 00 60870</t>
  </si>
  <si>
    <t xml:space="preserve">Руководитель контрольно-счетной комиссии муниципального образования </t>
  </si>
  <si>
    <t>02 6 00 S0440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</si>
  <si>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</si>
  <si>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</si>
  <si>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</si>
  <si>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</si>
  <si>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</si>
  <si>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</si>
  <si>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</si>
  <si>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</si>
  <si>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</si>
  <si>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</si>
  <si>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</si>
  <si>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</si>
  <si>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</si>
  <si>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</si>
  <si>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</si>
  <si>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</si>
  <si>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</si>
  <si>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12 5 00 07704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</si>
  <si>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</si>
  <si>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</si>
  <si>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</si>
  <si>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</si>
  <si>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</si>
  <si>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</si>
  <si>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</si>
  <si>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</si>
  <si>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</si>
  <si>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</si>
  <si>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</si>
  <si>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</si>
  <si>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</si>
  <si>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</si>
  <si>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</si>
  <si>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</si>
  <si>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</si>
  <si>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23 0 00 L0271</t>
  </si>
  <si>
    <t>Субсидия на обеспечение современными аппаратно-программными комплексами общеобразовательных организаций в Московской области</t>
  </si>
  <si>
    <t>03 2 00 62490</t>
  </si>
  <si>
    <t>Осуществление полномочий (части полномочий) по осуществлению дорожной деятельности в части содержания автомобильных дорог общего пользования, расположенных на территории муниципального образования "Городское поселение Хотьково" за счет иных межбюджетных трансфертов из бюджета городского поселения Хотьково</t>
  </si>
  <si>
    <t>14 2 01 08004</t>
  </si>
  <si>
    <t>14 2 01 S0240</t>
  </si>
  <si>
    <t>14 2 03 08004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</si>
  <si>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</si>
  <si>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22 0 00 06004</t>
  </si>
  <si>
    <t>22 0 00 06000</t>
  </si>
  <si>
    <t>Осуществление полномочий (части полномочий) для организации ритуальных услуг и содержания мест захоронений в границах населенных пунктов городского поселения Сергиев Посад за счет иных межбюджетных трансфертов из бюджета городского поселения Сергиев Посад</t>
  </si>
  <si>
    <t>Осуществление полномочий (части полномочий) в рамках создания условий для развития малого и среднего предпринимательства на территории городского поселения Сергиев Посад за счет иных межбюджетных трансфертов из бюджета городского поселения Сергиев Посад</t>
  </si>
  <si>
    <t>11 0 00 08664</t>
  </si>
  <si>
    <t>11 0 00 07774</t>
  </si>
  <si>
    <t>11 0 00 08774</t>
  </si>
  <si>
    <t xml:space="preserve">Осуществление полномочий (части полномочий) в рамках организации благоустройства территории  городского поселения Сергиев Посад (в части средств размещения информации) за счет иных межбюджетных трансфертов из бюджета городского поселения Сергиев Посад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</si>
  <si>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</si>
  <si>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</si>
  <si>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</si>
  <si>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</si>
  <si>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</si>
  <si>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</si>
  <si>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</si>
  <si>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</si>
  <si>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10 1 00 60330</t>
  </si>
  <si>
    <t>10 1 00 S0330</t>
  </si>
  <si>
    <t>10 3 00 64080</t>
  </si>
  <si>
    <t>Подпрограмма IV "Энергосбережение и повышение энергетической эффективности "</t>
  </si>
  <si>
    <t>10 3 00 S4080</t>
  </si>
  <si>
    <t>10 4 00 00000</t>
  </si>
  <si>
    <t>Мероприятия подпрограммы "Энергосбережение и повышение энергетической эффективности"</t>
  </si>
  <si>
    <t>10 4 00 88780</t>
  </si>
  <si>
    <t>10 3 00 61420</t>
  </si>
  <si>
    <t>10 3 00 61410</t>
  </si>
  <si>
    <t>26 0 00 00000</t>
  </si>
  <si>
    <t>Создание муниципального индустриального парка</t>
  </si>
  <si>
    <t>26 0 00 88870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</si>
  <si>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</si>
  <si>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Капитальный ремонт объектов коммунального комплекса</t>
  </si>
  <si>
    <t>10 3 00 88980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</si>
  <si>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</si>
  <si>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</si>
  <si>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</si>
  <si>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</si>
  <si>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</si>
  <si>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</si>
  <si>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</si>
  <si>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</si>
  <si>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18 3 00 60950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</si>
  <si>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</si>
  <si>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</si>
  <si>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</si>
  <si>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03 1 00 04400</t>
  </si>
  <si>
    <t>03 2 00 04400</t>
  </si>
  <si>
    <t>03 3 00 04400</t>
  </si>
  <si>
    <t>05 1 02 04400</t>
  </si>
  <si>
    <t>05 1 12 04400</t>
  </si>
  <si>
    <t>05 1 13 04400</t>
  </si>
  <si>
    <t>Разработка проектной документации на проездную дорогу к муниципальному индустриальному парку</t>
  </si>
  <si>
    <t>26 0 00 88860</t>
  </si>
  <si>
    <t>Подпрограмма "Комфортная городская среда"</t>
  </si>
  <si>
    <t>18 1 00 00000</t>
  </si>
  <si>
    <t>18 1 00 62670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</si>
  <si>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</si>
  <si>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17 0 00 S2680</t>
  </si>
  <si>
    <t>Реализация мероприятий по ликвидации несанкционированных свалок</t>
  </si>
  <si>
    <t>07 0 00 88880</t>
  </si>
  <si>
    <t>17 0 00 S0860</t>
  </si>
  <si>
    <t>11 0 00 88860</t>
  </si>
  <si>
    <t xml:space="preserve"> 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</si>
  <si>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Предоставление субсидии Союзу "Торгово-промышленная палата Сергиево-Посадского района"</t>
  </si>
  <si>
    <t>Мероприятия по организации охраны муниципального индустриального парка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</si>
  <si>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</si>
  <si>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</si>
  <si>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</si>
  <si>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01 0 00 04990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</si>
  <si>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</si>
  <si>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</si>
  <si>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10 3 00 60300</t>
  </si>
  <si>
    <t xml:space="preserve">Мероприятия по разработке проекта планировки территории для формирования земельного участка под многоквартирным жилым домом </t>
  </si>
  <si>
    <t>19 0 00 00631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</si>
  <si>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</si>
  <si>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</si>
  <si>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14 2 01 60240</t>
  </si>
  <si>
    <t>10 1 00 60320</t>
  </si>
  <si>
    <t>Субсидия на капитальный ремонт, приобретение, монтаж и ввод в эксплуатацию объектов коммунальной инфраструктуры</t>
  </si>
  <si>
    <t>Субсидия на проведение первоочередных мероприятий  по восстановлению инфраструктуры военных городков на территории Московской области, переданных в собственность муниципальных образований</t>
  </si>
  <si>
    <t>Муниципальная программа  "Формирование современной комфортной городской среды"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</si>
  <si>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</si>
  <si>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</si>
  <si>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Подпрограмма II "Проектирование, строительство, реконструкция и капитальный ремонт объектов спорта"</t>
  </si>
  <si>
    <t>05 2 00 00000</t>
  </si>
  <si>
    <t>Мероприятие "Проектирование и строительство ФОК с плавательным бассейном"</t>
  </si>
  <si>
    <t>05 2 01 00000</t>
  </si>
  <si>
    <t>05 2 01 64130</t>
  </si>
  <si>
    <t>Капитальные вложения в объекты государственной (муниципальной) собственности</t>
  </si>
  <si>
    <t>05 2 01 84130</t>
  </si>
  <si>
    <t>05 2 01 S4130</t>
  </si>
  <si>
    <t>Подпрограмма VI "Реализация мер по поэтапному повышению заработной платы работников муниципальных учреждений сферы культуры Сергиево-Посадского муниципального района"</t>
  </si>
  <si>
    <t>23 0 00 62640</t>
  </si>
  <si>
    <t>23 0 00 S2640</t>
  </si>
  <si>
    <t xml:space="preserve">Субсидии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</si>
  <si>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 xml:space="preserve">Софинансирование субсидии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</si>
  <si>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02 3 00 04400</t>
  </si>
  <si>
    <t>02 1 00 04400</t>
  </si>
  <si>
    <t>09 2 00 L4970</t>
  </si>
  <si>
    <t>18 1 06 R5550</t>
  </si>
  <si>
    <t>10 3 00 00603</t>
  </si>
  <si>
    <t>Расходы на обеспечение деятельности МКУ "Единый центр поддержки предпринимательства"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</si>
  <si>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</si>
  <si>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03 1 00 62130</t>
  </si>
  <si>
    <t>03 2 00 62310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</si>
  <si>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</si>
  <si>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</si>
  <si>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</si>
  <si>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</si>
  <si>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субсидии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</si>
  <si>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Субсидия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</si>
  <si>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</si>
  <si>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1102</t>
  </si>
  <si>
    <t>Массовый спорт</t>
  </si>
  <si>
    <t>05 2 01 62540</t>
  </si>
  <si>
    <t>Субсидия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</si>
  <si>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03 1 00 60600</t>
  </si>
  <si>
    <t>Софинансирование субсидии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Интернетна внедрение современных технологий</t>
  </si>
  <si>
    <t>03 2 00 60600</t>
  </si>
  <si>
    <t>Софинансирование субсидии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</si>
  <si>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S2540</t>
  </si>
  <si>
    <t>Софинансирование субсидии на приобретение и установку площадок для сдачи нормативов комплекса "Готов к труду и обороне" в муниципальных образованиях Московской области</t>
  </si>
  <si>
    <t>Субсидия на приобретение и установку площадок для сдачи нормативов комплекса "Готов к труду и обороне" в муниципальных образованиях Московской области</t>
  </si>
  <si>
    <t>23 0 00 R0271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</si>
  <si>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</si>
  <si>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Подпрограмма "Повышение инвестиционной привлекательности Сергиево-Посадского муниципального района"</t>
  </si>
  <si>
    <t>Субсидия на улучшение жилищных условий граждан, проживающих в сельской местности, в том числе молодых семей и молодых специалистов</t>
  </si>
  <si>
    <t>06 0 00 60880</t>
  </si>
  <si>
    <t>Субсидия на реализацию мероприятий по устойчивому развитию сельских территорий</t>
  </si>
  <si>
    <t>06 0 00 R5670</t>
  </si>
  <si>
    <t>Другие вопросы в области национальной безопасности и правоохранительной деятельности</t>
  </si>
  <si>
    <t>0314</t>
  </si>
  <si>
    <t>10 3 00 88930</t>
  </si>
  <si>
    <t>10 3 00 88940</t>
  </si>
  <si>
    <t>Предоставление субсидии ООО "Контур ресурс" на подготовку объектов жилищно-коммунального хозяйства сельских поселений к работе в осенне-зимний период 2018-2019 гг.</t>
  </si>
  <si>
    <t xml:space="preserve">Субсидия на проектирование и строительство физкультурно-оздоровительных комплексов </t>
  </si>
  <si>
    <t xml:space="preserve">Софинансирование субсидии на проектирование и строительство физкультурно-оздоровительных комплексов </t>
  </si>
  <si>
    <t xml:space="preserve">Расходы на строительство физкультурно-оздоровительного комплекса </t>
  </si>
  <si>
    <t>Организация безбарьерного доступа в подъезды многоквартирных домов</t>
  </si>
  <si>
    <t>23 0 00 88870</t>
  </si>
  <si>
    <t>06 0 00 L5670</t>
  </si>
  <si>
    <t>Софинансирование субсидии на улучшение жилищных условий граждан, проживающих в сельской местности, в том числе молодых семей и молодых специалистов</t>
  </si>
  <si>
    <t>Предоставление гранта от Фонда поддержки детей, находящихся в трудной жизненной ситуации</t>
  </si>
  <si>
    <t xml:space="preserve"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местного значения за счет средств бюджета Московской области из бюджета городского поселения Сергиев Посад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</si>
  <si>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Сергиев Посад и проездов к ним за счет средств бюджета Московской области, включая средства федерального бюджета 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</si>
  <si>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</si>
  <si>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</si>
  <si>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</si>
  <si>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</si>
  <si>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Информирование населения Сергиево-Посадского муниципального района  путем изготовления и распространения полиграфической продукции о социально значимых вопросах в деятельности органов местного самоуправления Сергиево-Посадского муниципального района, формирование положительного образа Сергиево-Посадского муниципального района  как социально ориентированного, комфортного для жизни и ведения предпринимательской деятельности</t>
  </si>
  <si>
    <t>13 0 00 88860</t>
  </si>
  <si>
    <t>Демонтаж рекламных конструкций</t>
  </si>
  <si>
    <t>13 0 00 88850</t>
  </si>
  <si>
    <t>02 2 00 88880</t>
  </si>
  <si>
    <t>10 3 00 S0300</t>
  </si>
  <si>
    <t>Мероприятие по созданию рекреационной зоны для повышения инвестиционного потенциала Сергиево-Посадского муниципального района</t>
  </si>
  <si>
    <t>26 0 00 88890</t>
  </si>
  <si>
    <t>05 1 12 77760</t>
  </si>
  <si>
    <t>Расходы по устройству дренажной канавы с физкультурно-оздоровительным комплексом МАУ "Ледовый спортивный комплекс "Сергиев Посад"</t>
  </si>
  <si>
    <t xml:space="preserve">Осуществление полномочий (части полномочий) для обеспечения жителей  городского поселения Сергиев Посад услугами торговли и бытового обслуживания за счет иных межбюджетных трансфертов из бюджета городского поселения Сергиев Посад 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</si>
  <si>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</si>
  <si>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</si>
  <si>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18 1 06 L5550</t>
  </si>
  <si>
    <t>Субсидия на проведение первоочередных мероприятий 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</si>
  <si>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Софинансирование субсидии на проведение первоочередных мероприятий 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</si>
  <si>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09 4 00 60220</t>
  </si>
  <si>
    <t>Субсидия на компенсацию оплаты основного долга  по ипотечному жилищному кредиту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</si>
  <si>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</si>
  <si>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</si>
  <si>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</si>
  <si>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Рекультивация земельного участка</t>
  </si>
  <si>
    <t>07 0 00 88888</t>
  </si>
  <si>
    <t>Субсидия Обществу с ограниченной ответственностью Культурно-коммерческая фирма "Тонус" на организацию и проведение  XXII открытого фестиваля телекомпаний Подмосковья "Братина"</t>
  </si>
  <si>
    <t>Утвержден</t>
  </si>
  <si>
    <t>постановлением Главы</t>
  </si>
  <si>
    <t xml:space="preserve">Сергиево-Посадского </t>
  </si>
  <si>
    <t>ОТЧЕТ</t>
  </si>
  <si>
    <t>Исполнено ВСЕГО</t>
  </si>
  <si>
    <t>в том числе за счет  межбюджетных трансфертов</t>
  </si>
  <si>
    <t>% исполнения</t>
  </si>
  <si>
    <t>об исполнении бюджета Сергиево-Посадского муниципального района  по расходам за 1 полугодие  2018 г</t>
  </si>
  <si>
    <t>Предоставление муниципальной гарантии МУП Сергиево-Посадского муниципального района Московской области "РКС" без регресса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</t>
  </si>
  <si>
    <t>Предоставление субсидии МУП Сергиево-Посадского муниципального района Московской области "РКС" на подготовку объектов жилищно-коммунального хозяйства сельских поселений к работе в осенне-зимний период 2018-2019 гг.</t>
  </si>
  <si>
    <t>от 23.07.2018 №1240-ПГ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</si>
</sst>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&quot;р.&quot;"/>
    <numFmt numFmtId="182" formatCode="#,##0.0"/>
    <numFmt numFmtId="183" formatCode="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82" fontId="9" fillId="0" borderId="11" xfId="0" applyNumberFormat="1" applyFont="1" applyBorder="1" applyAlignment="1">
      <alignment/>
    </xf>
    <xf numFmtId="182" fontId="9" fillId="0" borderId="10" xfId="0" applyNumberFormat="1" applyFont="1" applyBorder="1" applyAlignment="1">
      <alignment wrapText="1"/>
    </xf>
    <xf numFmtId="182" fontId="9" fillId="0" borderId="11" xfId="0" applyNumberFormat="1" applyFont="1" applyBorder="1" applyAlignment="1">
      <alignment wrapText="1"/>
    </xf>
    <xf numFmtId="182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8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82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82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82" fontId="8" fillId="0" borderId="11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8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82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82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80" fontId="9" fillId="0" borderId="11" xfId="0" applyNumberFormat="1" applyFont="1" applyBorder="1" applyAlignment="1">
      <alignment wrapText="1"/>
    </xf>
    <xf numFmtId="183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82" fontId="10" fillId="0" borderId="11" xfId="0" applyNumberFormat="1" applyFont="1" applyBorder="1" applyAlignment="1">
      <alignment wrapText="1"/>
    </xf>
    <xf numFmtId="182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82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82" fontId="9" fillId="0" borderId="11" xfId="0" applyNumberFormat="1" applyFont="1" applyFill="1" applyBorder="1" applyAlignment="1">
      <alignment wrapText="1"/>
    </xf>
    <xf numFmtId="182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wrapText="1"/>
    </xf>
    <xf numFmtId="182" fontId="11" fillId="0" borderId="11" xfId="0" applyNumberFormat="1" applyFont="1" applyBorder="1" applyAlignment="1">
      <alignment wrapText="1"/>
    </xf>
    <xf numFmtId="182" fontId="9" fillId="0" borderId="10" xfId="0" applyNumberFormat="1" applyFont="1" applyFill="1" applyBorder="1" applyAlignment="1">
      <alignment wrapText="1"/>
    </xf>
    <xf numFmtId="182" fontId="1" fillId="0" borderId="11" xfId="0" applyNumberFormat="1" applyFont="1" applyBorder="1" applyAlignment="1">
      <alignment horizontal="right" vertical="center" wrapText="1"/>
    </xf>
    <xf numFmtId="182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82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82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82" fontId="11" fillId="0" borderId="10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82" fontId="12" fillId="0" borderId="10" xfId="0" applyNumberFormat="1" applyFont="1" applyBorder="1" applyAlignment="1">
      <alignment wrapText="1"/>
    </xf>
    <xf numFmtId="182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82" fontId="7" fillId="0" borderId="11" xfId="0" applyNumberFormat="1" applyFont="1" applyFill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62"/>
  <sheetViews>
    <sheetView tabSelected="1" view="pageLayout" zoomScaleSheetLayoutView="100" workbookViewId="0" topLeftCell="A1">
      <selection activeCell="A8" sqref="A8:I8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8.50390625" style="0" customWidth="1"/>
    <col min="5" max="5" width="14.50390625" style="0" customWidth="1"/>
    <col min="6" max="6" width="13.50390625" style="0" customWidth="1"/>
    <col min="7" max="7" width="13.125" style="0" customWidth="1"/>
    <col min="8" max="8" width="15.875" style="0" customWidth="1"/>
    <col min="9" max="9" width="11.125" style="0" customWidth="1"/>
  </cols>
  <sheetData>
    <row r="1" spans="1:6" ht="13.5">
      <c r="A1" s="29"/>
      <c r="B1" s="29"/>
      <c r="C1" s="29"/>
      <c r="D1" s="29"/>
      <c r="E1" s="112"/>
      <c r="F1" s="29"/>
    </row>
    <row r="2" spans="1:9" ht="17.25">
      <c r="A2" s="29"/>
      <c r="B2" s="29"/>
      <c r="C2" s="29"/>
      <c r="D2" s="29"/>
      <c r="E2" s="112"/>
      <c r="F2" s="29"/>
      <c r="G2" s="113" t="s">
        <v>726</v>
      </c>
      <c r="H2" s="114"/>
      <c r="I2" s="115"/>
    </row>
    <row r="3" spans="1:9" ht="17.25">
      <c r="A3" s="29"/>
      <c r="B3" s="29"/>
      <c r="C3" s="29"/>
      <c r="D3" s="29"/>
      <c r="E3" s="29"/>
      <c r="F3" s="29"/>
      <c r="G3" s="113" t="s">
        <v>727</v>
      </c>
      <c r="H3" s="114"/>
      <c r="I3" s="115"/>
    </row>
    <row r="4" spans="1:9" ht="17.25">
      <c r="A4" s="29"/>
      <c r="B4" s="29"/>
      <c r="C4" s="29"/>
      <c r="D4" s="29"/>
      <c r="E4" s="29"/>
      <c r="F4" s="29"/>
      <c r="G4" s="113" t="s">
        <v>728</v>
      </c>
      <c r="H4" s="114"/>
      <c r="I4" s="115"/>
    </row>
    <row r="5" spans="1:9" ht="17.25">
      <c r="A5" s="29"/>
      <c r="B5" s="29"/>
      <c r="C5" s="29"/>
      <c r="D5" s="29"/>
      <c r="E5" s="29"/>
      <c r="F5" s="29"/>
      <c r="G5" s="113" t="s">
        <v>156</v>
      </c>
      <c r="H5" s="114"/>
      <c r="I5" s="115"/>
    </row>
    <row r="6" spans="1:9" ht="17.25">
      <c r="A6" s="29"/>
      <c r="B6" s="29"/>
      <c r="C6" s="29"/>
      <c r="D6" s="29"/>
      <c r="E6" s="29"/>
      <c r="F6" s="29"/>
      <c r="G6" s="113" t="s">
        <v>52</v>
      </c>
      <c r="H6" s="114"/>
      <c r="I6" s="115"/>
    </row>
    <row r="7" spans="1:9" ht="17.25">
      <c r="A7" s="29"/>
      <c r="B7" s="29"/>
      <c r="C7" s="29"/>
      <c r="D7" s="29"/>
      <c r="E7" s="29"/>
      <c r="F7" s="29"/>
      <c r="G7" s="113" t="s">
        <v>736</v>
      </c>
      <c r="H7" s="114"/>
      <c r="I7" s="115"/>
    </row>
    <row r="8" spans="1:9" ht="17.25">
      <c r="A8" s="123" t="s">
        <v>729</v>
      </c>
      <c r="B8" s="123"/>
      <c r="C8" s="123"/>
      <c r="D8" s="123"/>
      <c r="E8" s="123"/>
      <c r="F8" s="123"/>
      <c r="G8" s="123"/>
      <c r="H8" s="123"/>
      <c r="I8" s="123"/>
    </row>
    <row r="9" spans="1:9" ht="17.25">
      <c r="A9" s="124" t="s">
        <v>733</v>
      </c>
      <c r="B9" s="124"/>
      <c r="C9" s="124"/>
      <c r="D9" s="124"/>
      <c r="E9" s="124"/>
      <c r="F9" s="124"/>
      <c r="G9" s="124"/>
      <c r="H9" s="124"/>
      <c r="I9" s="125"/>
    </row>
    <row r="10" spans="1:6" ht="30.75" customHeight="1">
      <c r="A10" s="30"/>
      <c r="B10" s="30"/>
      <c r="C10" s="30"/>
      <c r="D10" s="30"/>
      <c r="E10" s="30"/>
      <c r="F10" s="30"/>
    </row>
    <row r="11" spans="1:8" ht="13.5">
      <c r="A11" s="29"/>
      <c r="B11" s="29"/>
      <c r="C11" s="29"/>
      <c r="D11" s="29"/>
      <c r="E11" s="29"/>
      <c r="F11" s="31"/>
      <c r="H11" s="31" t="s">
        <v>60</v>
      </c>
    </row>
    <row r="12" spans="1:9" s="1" customFormat="1" ht="18.75" customHeight="1">
      <c r="A12" s="128" t="s">
        <v>87</v>
      </c>
      <c r="B12" s="130" t="s">
        <v>88</v>
      </c>
      <c r="C12" s="131"/>
      <c r="D12" s="132"/>
      <c r="E12" s="126" t="s">
        <v>89</v>
      </c>
      <c r="F12" s="126" t="s">
        <v>208</v>
      </c>
      <c r="G12" s="126" t="s">
        <v>730</v>
      </c>
      <c r="H12" s="126" t="s">
        <v>731</v>
      </c>
      <c r="I12" s="126" t="s">
        <v>732</v>
      </c>
    </row>
    <row r="13" spans="1:9" s="1" customFormat="1" ht="67.5" customHeight="1">
      <c r="A13" s="129"/>
      <c r="B13" s="32" t="s">
        <v>90</v>
      </c>
      <c r="C13" s="32" t="s">
        <v>91</v>
      </c>
      <c r="D13" s="32" t="s">
        <v>92</v>
      </c>
      <c r="E13" s="127"/>
      <c r="F13" s="127"/>
      <c r="G13" s="127"/>
      <c r="H13" s="127"/>
      <c r="I13" s="127"/>
    </row>
    <row r="14" spans="1:9" s="5" customFormat="1" ht="24.75" customHeight="1">
      <c r="A14" s="13" t="s">
        <v>136</v>
      </c>
      <c r="B14" s="14" t="s">
        <v>93</v>
      </c>
      <c r="C14" s="15"/>
      <c r="D14" s="14"/>
      <c r="E14" s="16">
        <f>E15+E33+E200+E62+E204+E22</f>
        <v>509984.8</v>
      </c>
      <c r="F14" s="16">
        <f>F15+F33+F200+F62+F204+F22</f>
        <v>39108</v>
      </c>
      <c r="G14" s="16">
        <f>G15+G33+G200+G62+G204+G22</f>
        <v>223578.8</v>
      </c>
      <c r="H14" s="16">
        <f>H15+H33+H200+H62+H204+H22</f>
        <v>23291.300000000003</v>
      </c>
      <c r="I14" s="24">
        <f>G14/E14*100</f>
        <v>43.840287004632295</v>
      </c>
    </row>
    <row r="15" spans="1:9" s="1" customFormat="1" ht="30" customHeight="1">
      <c r="A15" s="33" t="s">
        <v>68</v>
      </c>
      <c r="B15" s="63" t="s">
        <v>146</v>
      </c>
      <c r="C15" s="61"/>
      <c r="D15" s="61"/>
      <c r="E15" s="11">
        <f aca="true" t="shared" si="0" ref="E15:G20">E16</f>
        <v>4152.1</v>
      </c>
      <c r="F15" s="11"/>
      <c r="G15" s="11">
        <f t="shared" si="0"/>
        <v>2182.5</v>
      </c>
      <c r="H15" s="11"/>
      <c r="I15" s="117"/>
    </row>
    <row r="16" spans="1:9" s="1" customFormat="1" ht="19.5" customHeight="1">
      <c r="A16" s="34" t="s">
        <v>251</v>
      </c>
      <c r="B16" s="35" t="s">
        <v>146</v>
      </c>
      <c r="C16" s="36" t="s">
        <v>21</v>
      </c>
      <c r="D16" s="37"/>
      <c r="E16" s="38">
        <f t="shared" si="0"/>
        <v>4152.1</v>
      </c>
      <c r="F16" s="9"/>
      <c r="G16" s="38">
        <f t="shared" si="0"/>
        <v>2182.5</v>
      </c>
      <c r="H16" s="9"/>
      <c r="I16" s="117"/>
    </row>
    <row r="17" spans="1:9" s="1" customFormat="1" ht="21.75" customHeight="1">
      <c r="A17" s="39" t="s">
        <v>42</v>
      </c>
      <c r="B17" s="35" t="s">
        <v>146</v>
      </c>
      <c r="C17" s="37" t="s">
        <v>22</v>
      </c>
      <c r="D17" s="37"/>
      <c r="E17" s="38">
        <f t="shared" si="0"/>
        <v>4152.1</v>
      </c>
      <c r="F17" s="9"/>
      <c r="G17" s="38">
        <f t="shared" si="0"/>
        <v>2182.5</v>
      </c>
      <c r="H17" s="9"/>
      <c r="I17" s="117"/>
    </row>
    <row r="18" spans="1:9" s="1" customFormat="1" ht="47.25" customHeight="1">
      <c r="A18" s="40" t="s">
        <v>171</v>
      </c>
      <c r="B18" s="35" t="s">
        <v>146</v>
      </c>
      <c r="C18" s="37" t="s">
        <v>23</v>
      </c>
      <c r="D18" s="37"/>
      <c r="E18" s="38">
        <f t="shared" si="0"/>
        <v>4152.1</v>
      </c>
      <c r="F18" s="38"/>
      <c r="G18" s="38">
        <f t="shared" si="0"/>
        <v>2182.5</v>
      </c>
      <c r="H18" s="38"/>
      <c r="I18" s="117"/>
    </row>
    <row r="19" spans="1:9" s="1" customFormat="1" ht="18" customHeight="1">
      <c r="A19" s="41" t="s">
        <v>147</v>
      </c>
      <c r="B19" s="35" t="s">
        <v>146</v>
      </c>
      <c r="C19" s="37" t="str">
        <f>$C$18</f>
        <v>12 5 00 01000</v>
      </c>
      <c r="D19" s="37"/>
      <c r="E19" s="38">
        <f t="shared" si="0"/>
        <v>4152.1</v>
      </c>
      <c r="F19" s="38"/>
      <c r="G19" s="38">
        <f t="shared" si="0"/>
        <v>2182.5</v>
      </c>
      <c r="H19" s="38"/>
      <c r="I19" s="117"/>
    </row>
    <row r="20" spans="1:9" s="1" customFormat="1" ht="57.75" customHeight="1">
      <c r="A20" s="41" t="s">
        <v>344</v>
      </c>
      <c r="B20" s="35" t="s">
        <v>146</v>
      </c>
      <c r="C20" s="37" t="str">
        <f>$C$19</f>
        <v>12 5 00 01000</v>
      </c>
      <c r="D20" s="37" t="s">
        <v>180</v>
      </c>
      <c r="E20" s="38">
        <f t="shared" si="0"/>
        <v>4152.1</v>
      </c>
      <c r="F20" s="38"/>
      <c r="G20" s="38">
        <f t="shared" si="0"/>
        <v>2182.5</v>
      </c>
      <c r="H20" s="38"/>
      <c r="I20" s="117"/>
    </row>
    <row r="21" spans="1:9" s="1" customFormat="1" ht="21" customHeight="1">
      <c r="A21" s="41" t="s">
        <v>173</v>
      </c>
      <c r="B21" s="35" t="s">
        <v>146</v>
      </c>
      <c r="C21" s="37" t="str">
        <f>$C$19</f>
        <v>12 5 00 01000</v>
      </c>
      <c r="D21" s="37" t="s">
        <v>172</v>
      </c>
      <c r="E21" s="38">
        <f>4152.1</f>
        <v>4152.1</v>
      </c>
      <c r="F21" s="38"/>
      <c r="G21" s="38">
        <v>2182.5</v>
      </c>
      <c r="H21" s="38"/>
      <c r="I21" s="117"/>
    </row>
    <row r="22" spans="1:9" s="1" customFormat="1" ht="48" customHeight="1">
      <c r="A22" s="33" t="s">
        <v>243</v>
      </c>
      <c r="B22" s="63" t="s">
        <v>244</v>
      </c>
      <c r="C22" s="61"/>
      <c r="D22" s="61"/>
      <c r="E22" s="11">
        <f>E23</f>
        <v>481.1</v>
      </c>
      <c r="F22" s="11"/>
      <c r="G22" s="11">
        <f>G23</f>
        <v>234.60000000000002</v>
      </c>
      <c r="H22" s="11"/>
      <c r="I22" s="117"/>
    </row>
    <row r="23" spans="1:9" s="1" customFormat="1" ht="47.25" customHeight="1">
      <c r="A23" s="40" t="s">
        <v>171</v>
      </c>
      <c r="B23" s="35" t="s">
        <v>244</v>
      </c>
      <c r="C23" s="37" t="s">
        <v>24</v>
      </c>
      <c r="D23" s="37"/>
      <c r="E23" s="38">
        <f>E24</f>
        <v>481.1</v>
      </c>
      <c r="F23" s="38"/>
      <c r="G23" s="38">
        <f>G24</f>
        <v>234.60000000000002</v>
      </c>
      <c r="H23" s="38"/>
      <c r="I23" s="117"/>
    </row>
    <row r="24" spans="1:9" s="1" customFormat="1" ht="21" customHeight="1">
      <c r="A24" s="40" t="s">
        <v>119</v>
      </c>
      <c r="B24" s="35" t="s">
        <v>244</v>
      </c>
      <c r="C24" s="37" t="s">
        <v>25</v>
      </c>
      <c r="D24" s="37"/>
      <c r="E24" s="38">
        <f>E25+E28</f>
        <v>481.1</v>
      </c>
      <c r="F24" s="38"/>
      <c r="G24" s="38">
        <f>G25+G28</f>
        <v>234.60000000000002</v>
      </c>
      <c r="H24" s="38"/>
      <c r="I24" s="117"/>
    </row>
    <row r="25" spans="1:9" s="1" customFormat="1" ht="21" customHeight="1">
      <c r="A25" s="40" t="s">
        <v>160</v>
      </c>
      <c r="B25" s="35" t="s">
        <v>244</v>
      </c>
      <c r="C25" s="37" t="s">
        <v>26</v>
      </c>
      <c r="D25" s="37"/>
      <c r="E25" s="38">
        <f>E26</f>
        <v>278.1</v>
      </c>
      <c r="F25" s="38"/>
      <c r="G25" s="38">
        <f>G26</f>
        <v>138.9</v>
      </c>
      <c r="H25" s="38"/>
      <c r="I25" s="117"/>
    </row>
    <row r="26" spans="1:9" s="1" customFormat="1" ht="60.75" customHeight="1">
      <c r="A26" s="40" t="s">
        <v>344</v>
      </c>
      <c r="B26" s="35" t="s">
        <v>244</v>
      </c>
      <c r="C26" s="37" t="s">
        <v>26</v>
      </c>
      <c r="D26" s="37" t="s">
        <v>180</v>
      </c>
      <c r="E26" s="38">
        <f>E27</f>
        <v>278.1</v>
      </c>
      <c r="F26" s="38"/>
      <c r="G26" s="38">
        <f>G27</f>
        <v>138.9</v>
      </c>
      <c r="H26" s="38"/>
      <c r="I26" s="117"/>
    </row>
    <row r="27" spans="1:9" s="1" customFormat="1" ht="21" customHeight="1">
      <c r="A27" s="40" t="s">
        <v>173</v>
      </c>
      <c r="B27" s="35" t="s">
        <v>244</v>
      </c>
      <c r="C27" s="37" t="s">
        <v>26</v>
      </c>
      <c r="D27" s="37" t="s">
        <v>172</v>
      </c>
      <c r="E27" s="38">
        <f>270.6-4+11.5</f>
        <v>278.1</v>
      </c>
      <c r="F27" s="38"/>
      <c r="G27" s="38">
        <v>138.9</v>
      </c>
      <c r="H27" s="38"/>
      <c r="I27" s="117"/>
    </row>
    <row r="28" spans="1:9" s="1" customFormat="1" ht="34.5" customHeight="1">
      <c r="A28" s="40" t="s">
        <v>71</v>
      </c>
      <c r="B28" s="35" t="s">
        <v>244</v>
      </c>
      <c r="C28" s="37" t="s">
        <v>27</v>
      </c>
      <c r="D28" s="37"/>
      <c r="E28" s="38">
        <f>E29+E31</f>
        <v>203</v>
      </c>
      <c r="F28" s="38"/>
      <c r="G28" s="38">
        <f>G29+G31</f>
        <v>95.7</v>
      </c>
      <c r="H28" s="38"/>
      <c r="I28" s="117"/>
    </row>
    <row r="29" spans="1:9" s="1" customFormat="1" ht="21" customHeight="1">
      <c r="A29" s="40" t="s">
        <v>175</v>
      </c>
      <c r="B29" s="35" t="s">
        <v>244</v>
      </c>
      <c r="C29" s="37" t="s">
        <v>27</v>
      </c>
      <c r="D29" s="37" t="s">
        <v>174</v>
      </c>
      <c r="E29" s="38">
        <f>E30</f>
        <v>193</v>
      </c>
      <c r="F29" s="38"/>
      <c r="G29" s="38">
        <f>G30</f>
        <v>91.7</v>
      </c>
      <c r="H29" s="38"/>
      <c r="I29" s="117"/>
    </row>
    <row r="30" spans="1:9" s="1" customFormat="1" ht="32.25" customHeight="1">
      <c r="A30" s="40" t="s">
        <v>177</v>
      </c>
      <c r="B30" s="35" t="s">
        <v>244</v>
      </c>
      <c r="C30" s="37" t="s">
        <v>27</v>
      </c>
      <c r="D30" s="37" t="s">
        <v>176</v>
      </c>
      <c r="E30" s="38">
        <f>163+30</f>
        <v>193</v>
      </c>
      <c r="F30" s="38"/>
      <c r="G30" s="38">
        <v>91.7</v>
      </c>
      <c r="H30" s="38"/>
      <c r="I30" s="117"/>
    </row>
    <row r="31" spans="1:9" s="1" customFormat="1" ht="24" customHeight="1">
      <c r="A31" s="44" t="s">
        <v>179</v>
      </c>
      <c r="B31" s="35" t="s">
        <v>244</v>
      </c>
      <c r="C31" s="37" t="s">
        <v>27</v>
      </c>
      <c r="D31" s="37" t="s">
        <v>178</v>
      </c>
      <c r="E31" s="38">
        <f>E32</f>
        <v>10</v>
      </c>
      <c r="F31" s="38"/>
      <c r="G31" s="38">
        <f>G32</f>
        <v>4</v>
      </c>
      <c r="H31" s="38"/>
      <c r="I31" s="117"/>
    </row>
    <row r="32" spans="1:9" s="1" customFormat="1" ht="24" customHeight="1">
      <c r="A32" s="44" t="s">
        <v>348</v>
      </c>
      <c r="B32" s="35" t="s">
        <v>244</v>
      </c>
      <c r="C32" s="37" t="s">
        <v>27</v>
      </c>
      <c r="D32" s="37" t="s">
        <v>347</v>
      </c>
      <c r="E32" s="38">
        <f>4+6</f>
        <v>10</v>
      </c>
      <c r="F32" s="38"/>
      <c r="G32" s="38">
        <v>4</v>
      </c>
      <c r="H32" s="38"/>
      <c r="I32" s="117"/>
    </row>
    <row r="33" spans="1:9" s="1" customFormat="1" ht="47.25" customHeight="1">
      <c r="A33" s="47" t="s">
        <v>63</v>
      </c>
      <c r="B33" s="61" t="s">
        <v>112</v>
      </c>
      <c r="C33" s="61"/>
      <c r="D33" s="61"/>
      <c r="E33" s="11">
        <f>E38+E34</f>
        <v>258842.4</v>
      </c>
      <c r="F33" s="11">
        <f>F38</f>
        <v>0</v>
      </c>
      <c r="G33" s="11">
        <f>G38+G34</f>
        <v>112086.5</v>
      </c>
      <c r="H33" s="11">
        <f>H38</f>
        <v>0</v>
      </c>
      <c r="I33" s="117"/>
    </row>
    <row r="34" spans="1:9" s="1" customFormat="1" ht="78" customHeight="1">
      <c r="A34" s="34" t="s">
        <v>275</v>
      </c>
      <c r="B34" s="37" t="s">
        <v>112</v>
      </c>
      <c r="C34" s="35" t="s">
        <v>247</v>
      </c>
      <c r="D34" s="61"/>
      <c r="E34" s="38">
        <f>E35</f>
        <v>15063.2</v>
      </c>
      <c r="F34" s="11"/>
      <c r="G34" s="38">
        <f>G35</f>
        <v>5569.2</v>
      </c>
      <c r="H34" s="11"/>
      <c r="I34" s="117"/>
    </row>
    <row r="35" spans="1:9" s="1" customFormat="1" ht="30.75" customHeight="1">
      <c r="A35" s="44" t="s">
        <v>246</v>
      </c>
      <c r="B35" s="37" t="s">
        <v>112</v>
      </c>
      <c r="C35" s="35" t="s">
        <v>245</v>
      </c>
      <c r="D35" s="61"/>
      <c r="E35" s="38">
        <f>E36</f>
        <v>15063.2</v>
      </c>
      <c r="F35" s="11"/>
      <c r="G35" s="38">
        <f>G36</f>
        <v>5569.2</v>
      </c>
      <c r="H35" s="11"/>
      <c r="I35" s="117"/>
    </row>
    <row r="36" spans="1:9" s="1" customFormat="1" ht="26.25" customHeight="1">
      <c r="A36" s="44" t="s">
        <v>175</v>
      </c>
      <c r="B36" s="37" t="s">
        <v>112</v>
      </c>
      <c r="C36" s="35" t="s">
        <v>245</v>
      </c>
      <c r="D36" s="37" t="s">
        <v>174</v>
      </c>
      <c r="E36" s="38">
        <f>E37</f>
        <v>15063.2</v>
      </c>
      <c r="F36" s="11"/>
      <c r="G36" s="38">
        <f>G37</f>
        <v>5569.2</v>
      </c>
      <c r="H36" s="11"/>
      <c r="I36" s="117"/>
    </row>
    <row r="37" spans="1:9" s="1" customFormat="1" ht="33" customHeight="1">
      <c r="A37" s="44" t="s">
        <v>177</v>
      </c>
      <c r="B37" s="37" t="s">
        <v>112</v>
      </c>
      <c r="C37" s="35" t="s">
        <v>245</v>
      </c>
      <c r="D37" s="37" t="s">
        <v>176</v>
      </c>
      <c r="E37" s="38">
        <f>10000+808+39.1+128.5+23+4045.8+18.8</f>
        <v>15063.2</v>
      </c>
      <c r="F37" s="11"/>
      <c r="G37" s="38">
        <v>5569.2</v>
      </c>
      <c r="H37" s="11"/>
      <c r="I37" s="117"/>
    </row>
    <row r="38" spans="1:9" s="1" customFormat="1" ht="46.5" customHeight="1">
      <c r="A38" s="40" t="s">
        <v>171</v>
      </c>
      <c r="B38" s="37" t="s">
        <v>112</v>
      </c>
      <c r="C38" s="35" t="s">
        <v>21</v>
      </c>
      <c r="D38" s="37"/>
      <c r="E38" s="38">
        <f>E43+E39</f>
        <v>243779.19999999998</v>
      </c>
      <c r="F38" s="38">
        <f>F43+F39</f>
        <v>0</v>
      </c>
      <c r="G38" s="38">
        <f>G43+G39</f>
        <v>106517.3</v>
      </c>
      <c r="H38" s="38">
        <f>H43+H39</f>
        <v>0</v>
      </c>
      <c r="I38" s="117"/>
    </row>
    <row r="39" spans="1:9" s="1" customFormat="1" ht="24.75" customHeight="1">
      <c r="A39" s="34" t="s">
        <v>251</v>
      </c>
      <c r="B39" s="37" t="s">
        <v>112</v>
      </c>
      <c r="C39" s="35" t="str">
        <f>$C$38</f>
        <v>12 0 00 00000</v>
      </c>
      <c r="D39" s="37"/>
      <c r="E39" s="38">
        <f>E40</f>
        <v>350</v>
      </c>
      <c r="F39" s="38">
        <f>F40</f>
        <v>0</v>
      </c>
      <c r="G39" s="38">
        <f>G40</f>
        <v>245.2</v>
      </c>
      <c r="H39" s="38">
        <f>H40</f>
        <v>0</v>
      </c>
      <c r="I39" s="117"/>
    </row>
    <row r="40" spans="1:9" s="1" customFormat="1" ht="48.75" customHeight="1">
      <c r="A40" s="34" t="s">
        <v>325</v>
      </c>
      <c r="B40" s="37" t="s">
        <v>112</v>
      </c>
      <c r="C40" s="35" t="s">
        <v>28</v>
      </c>
      <c r="D40" s="37"/>
      <c r="E40" s="38">
        <f>E41</f>
        <v>350</v>
      </c>
      <c r="F40" s="48"/>
      <c r="G40" s="38">
        <f>G41</f>
        <v>245.2</v>
      </c>
      <c r="H40" s="48"/>
      <c r="I40" s="117"/>
    </row>
    <row r="41" spans="1:9" s="1" customFormat="1" ht="25.5" customHeight="1">
      <c r="A41" s="44" t="s">
        <v>175</v>
      </c>
      <c r="B41" s="37" t="s">
        <v>112</v>
      </c>
      <c r="C41" s="35" t="s">
        <v>29</v>
      </c>
      <c r="D41" s="37" t="s">
        <v>174</v>
      </c>
      <c r="E41" s="38">
        <f>E42</f>
        <v>350</v>
      </c>
      <c r="F41" s="48"/>
      <c r="G41" s="38">
        <f>G42</f>
        <v>245.2</v>
      </c>
      <c r="H41" s="48"/>
      <c r="I41" s="117"/>
    </row>
    <row r="42" spans="1:9" s="1" customFormat="1" ht="30" customHeight="1">
      <c r="A42" s="44" t="s">
        <v>177</v>
      </c>
      <c r="B42" s="37" t="s">
        <v>112</v>
      </c>
      <c r="C42" s="35" t="s">
        <v>29</v>
      </c>
      <c r="D42" s="37" t="s">
        <v>176</v>
      </c>
      <c r="E42" s="38">
        <f>300+100-50</f>
        <v>350</v>
      </c>
      <c r="F42" s="48"/>
      <c r="G42" s="38">
        <v>245.2</v>
      </c>
      <c r="H42" s="48"/>
      <c r="I42" s="117"/>
    </row>
    <row r="43" spans="1:9" s="1" customFormat="1" ht="24" customHeight="1">
      <c r="A43" s="34" t="s">
        <v>251</v>
      </c>
      <c r="B43" s="37" t="s">
        <v>112</v>
      </c>
      <c r="C43" s="36" t="s">
        <v>21</v>
      </c>
      <c r="D43" s="37"/>
      <c r="E43" s="38">
        <f>E44</f>
        <v>243429.19999999998</v>
      </c>
      <c r="F43" s="9"/>
      <c r="G43" s="38">
        <f>G44</f>
        <v>106272.1</v>
      </c>
      <c r="H43" s="9"/>
      <c r="I43" s="117"/>
    </row>
    <row r="44" spans="1:9" s="1" customFormat="1" ht="21" customHeight="1">
      <c r="A44" s="39" t="s">
        <v>42</v>
      </c>
      <c r="B44" s="37" t="s">
        <v>112</v>
      </c>
      <c r="C44" s="36" t="s">
        <v>22</v>
      </c>
      <c r="D44" s="37"/>
      <c r="E44" s="38">
        <f>E45</f>
        <v>243429.19999999998</v>
      </c>
      <c r="F44" s="9"/>
      <c r="G44" s="38">
        <f>G45</f>
        <v>106272.1</v>
      </c>
      <c r="H44" s="9"/>
      <c r="I44" s="117"/>
    </row>
    <row r="45" spans="1:9" s="1" customFormat="1" ht="18.75" customHeight="1">
      <c r="A45" s="49" t="s">
        <v>119</v>
      </c>
      <c r="B45" s="37" t="s">
        <v>112</v>
      </c>
      <c r="C45" s="37" t="s">
        <v>30</v>
      </c>
      <c r="D45" s="37"/>
      <c r="E45" s="38">
        <f>E46+E49+E52+E59</f>
        <v>243429.19999999998</v>
      </c>
      <c r="F45" s="38">
        <f>F46+F49+F52</f>
        <v>0</v>
      </c>
      <c r="G45" s="38">
        <f>G46+G49+G52+G59</f>
        <v>106272.1</v>
      </c>
      <c r="H45" s="38">
        <f>H46+H49+H52</f>
        <v>0</v>
      </c>
      <c r="I45" s="117"/>
    </row>
    <row r="46" spans="1:9" s="1" customFormat="1" ht="19.5" customHeight="1">
      <c r="A46" s="44" t="s">
        <v>159</v>
      </c>
      <c r="B46" s="37" t="s">
        <v>112</v>
      </c>
      <c r="C46" s="37" t="s">
        <v>31</v>
      </c>
      <c r="D46" s="37"/>
      <c r="E46" s="38">
        <f>E47</f>
        <v>91112.90000000001</v>
      </c>
      <c r="F46" s="38"/>
      <c r="G46" s="38">
        <f>G47</f>
        <v>37103.2</v>
      </c>
      <c r="H46" s="38"/>
      <c r="I46" s="117"/>
    </row>
    <row r="47" spans="1:9" s="1" customFormat="1" ht="60" customHeight="1">
      <c r="A47" s="41" t="s">
        <v>344</v>
      </c>
      <c r="B47" s="37" t="s">
        <v>112</v>
      </c>
      <c r="C47" s="37" t="s">
        <v>31</v>
      </c>
      <c r="D47" s="37" t="s">
        <v>180</v>
      </c>
      <c r="E47" s="38">
        <f>E48</f>
        <v>91112.90000000001</v>
      </c>
      <c r="F47" s="38"/>
      <c r="G47" s="38">
        <f>G48</f>
        <v>37103.2</v>
      </c>
      <c r="H47" s="38"/>
      <c r="I47" s="117"/>
    </row>
    <row r="48" spans="1:9" s="1" customFormat="1" ht="24" customHeight="1">
      <c r="A48" s="41" t="s">
        <v>173</v>
      </c>
      <c r="B48" s="37" t="s">
        <v>112</v>
      </c>
      <c r="C48" s="37" t="s">
        <v>31</v>
      </c>
      <c r="D48" s="37" t="s">
        <v>172</v>
      </c>
      <c r="E48" s="38">
        <f>91542.8-58-106.5-37.5-127.9-100</f>
        <v>91112.90000000001</v>
      </c>
      <c r="F48" s="38"/>
      <c r="G48" s="38">
        <v>37103.2</v>
      </c>
      <c r="H48" s="38"/>
      <c r="I48" s="117"/>
    </row>
    <row r="49" spans="1:9" s="1" customFormat="1" ht="21" customHeight="1">
      <c r="A49" s="44" t="s">
        <v>160</v>
      </c>
      <c r="B49" s="37" t="s">
        <v>112</v>
      </c>
      <c r="C49" s="37" t="s">
        <v>32</v>
      </c>
      <c r="D49" s="37"/>
      <c r="E49" s="38">
        <f>E50</f>
        <v>127869.69999999998</v>
      </c>
      <c r="F49" s="38"/>
      <c r="G49" s="38">
        <f>G50</f>
        <v>58159.9</v>
      </c>
      <c r="H49" s="38"/>
      <c r="I49" s="117"/>
    </row>
    <row r="50" spans="1:9" s="1" customFormat="1" ht="61.5" customHeight="1">
      <c r="A50" s="41" t="s">
        <v>344</v>
      </c>
      <c r="B50" s="37" t="s">
        <v>112</v>
      </c>
      <c r="C50" s="37" t="s">
        <v>32</v>
      </c>
      <c r="D50" s="37" t="s">
        <v>180</v>
      </c>
      <c r="E50" s="38">
        <f>E51</f>
        <v>127869.69999999998</v>
      </c>
      <c r="F50" s="38"/>
      <c r="G50" s="38">
        <f>G51</f>
        <v>58159.9</v>
      </c>
      <c r="H50" s="38"/>
      <c r="I50" s="117"/>
    </row>
    <row r="51" spans="1:9" s="1" customFormat="1" ht="21" customHeight="1">
      <c r="A51" s="41" t="s">
        <v>173</v>
      </c>
      <c r="B51" s="37" t="s">
        <v>112</v>
      </c>
      <c r="C51" s="37" t="s">
        <v>32</v>
      </c>
      <c r="D51" s="37" t="s">
        <v>172</v>
      </c>
      <c r="E51" s="38">
        <f>130509.4-1142-442.5-45-44.8-825.6-50-89.8</f>
        <v>127869.69999999998</v>
      </c>
      <c r="F51" s="38"/>
      <c r="G51" s="38">
        <v>58159.9</v>
      </c>
      <c r="H51" s="38"/>
      <c r="I51" s="117"/>
    </row>
    <row r="52" spans="1:9" s="1" customFormat="1" ht="33" customHeight="1">
      <c r="A52" s="44" t="s">
        <v>71</v>
      </c>
      <c r="B52" s="37" t="s">
        <v>112</v>
      </c>
      <c r="C52" s="37" t="s">
        <v>33</v>
      </c>
      <c r="D52" s="37"/>
      <c r="E52" s="38">
        <f>E53+E57+E55</f>
        <v>24096.600000000002</v>
      </c>
      <c r="F52" s="38"/>
      <c r="G52" s="38">
        <f>G53+G57+G55</f>
        <v>10814.9</v>
      </c>
      <c r="H52" s="38"/>
      <c r="I52" s="117"/>
    </row>
    <row r="53" spans="1:9" s="1" customFormat="1" ht="21.75" customHeight="1">
      <c r="A53" s="44" t="s">
        <v>175</v>
      </c>
      <c r="B53" s="37" t="s">
        <v>112</v>
      </c>
      <c r="C53" s="37" t="s">
        <v>33</v>
      </c>
      <c r="D53" s="37" t="s">
        <v>174</v>
      </c>
      <c r="E53" s="38">
        <f>E54</f>
        <v>23310.4</v>
      </c>
      <c r="F53" s="38"/>
      <c r="G53" s="38">
        <f>G54</f>
        <v>10509.7</v>
      </c>
      <c r="H53" s="38"/>
      <c r="I53" s="117"/>
    </row>
    <row r="54" spans="1:9" s="1" customFormat="1" ht="29.25" customHeight="1">
      <c r="A54" s="44" t="s">
        <v>177</v>
      </c>
      <c r="B54" s="37" t="s">
        <v>112</v>
      </c>
      <c r="C54" s="37" t="s">
        <v>33</v>
      </c>
      <c r="D54" s="37" t="s">
        <v>176</v>
      </c>
      <c r="E54" s="38">
        <f>19527.7+250-1.1+8.3+48-50+79.1-18.8-280+280+5186-1718.8</f>
        <v>23310.4</v>
      </c>
      <c r="F54" s="38"/>
      <c r="G54" s="38">
        <v>10509.7</v>
      </c>
      <c r="H54" s="38"/>
      <c r="I54" s="117"/>
    </row>
    <row r="55" spans="1:9" s="1" customFormat="1" ht="21" customHeight="1">
      <c r="A55" s="49" t="s">
        <v>408</v>
      </c>
      <c r="B55" s="37" t="s">
        <v>112</v>
      </c>
      <c r="C55" s="37" t="s">
        <v>33</v>
      </c>
      <c r="D55" s="37" t="s">
        <v>360</v>
      </c>
      <c r="E55" s="38">
        <f>E56</f>
        <v>277.4</v>
      </c>
      <c r="F55" s="38"/>
      <c r="G55" s="38">
        <f>G56</f>
        <v>277.4</v>
      </c>
      <c r="H55" s="38"/>
      <c r="I55" s="117"/>
    </row>
    <row r="56" spans="1:9" s="1" customFormat="1" ht="29.25" customHeight="1">
      <c r="A56" s="49" t="s">
        <v>57</v>
      </c>
      <c r="B56" s="37" t="s">
        <v>112</v>
      </c>
      <c r="C56" s="37" t="s">
        <v>33</v>
      </c>
      <c r="D56" s="37" t="s">
        <v>56</v>
      </c>
      <c r="E56" s="38">
        <f>170.9+106.5</f>
        <v>277.4</v>
      </c>
      <c r="F56" s="38"/>
      <c r="G56" s="38">
        <v>277.4</v>
      </c>
      <c r="H56" s="38"/>
      <c r="I56" s="117"/>
    </row>
    <row r="57" spans="1:9" s="1" customFormat="1" ht="21.75" customHeight="1">
      <c r="A57" s="44" t="s">
        <v>179</v>
      </c>
      <c r="B57" s="37" t="s">
        <v>112</v>
      </c>
      <c r="C57" s="37" t="str">
        <f>$C$54</f>
        <v>12 5 00 04990</v>
      </c>
      <c r="D57" s="37" t="s">
        <v>178</v>
      </c>
      <c r="E57" s="38">
        <f>E58</f>
        <v>508.8</v>
      </c>
      <c r="F57" s="38"/>
      <c r="G57" s="38">
        <f>G58</f>
        <v>27.8</v>
      </c>
      <c r="H57" s="38"/>
      <c r="I57" s="117"/>
    </row>
    <row r="58" spans="1:9" s="1" customFormat="1" ht="21.75" customHeight="1">
      <c r="A58" s="44" t="s">
        <v>348</v>
      </c>
      <c r="B58" s="37" t="s">
        <v>112</v>
      </c>
      <c r="C58" s="37" t="str">
        <f>$C$54</f>
        <v>12 5 00 04990</v>
      </c>
      <c r="D58" s="37" t="s">
        <v>347</v>
      </c>
      <c r="E58" s="38">
        <f>525+1.1+5.5-22.8</f>
        <v>508.8</v>
      </c>
      <c r="F58" s="38"/>
      <c r="G58" s="38">
        <v>27.8</v>
      </c>
      <c r="H58" s="38"/>
      <c r="I58" s="117"/>
    </row>
    <row r="59" spans="1:9" s="1" customFormat="1" ht="20.25" customHeight="1">
      <c r="A59" s="44" t="s">
        <v>587</v>
      </c>
      <c r="B59" s="37" t="s">
        <v>112</v>
      </c>
      <c r="C59" s="37" t="s">
        <v>588</v>
      </c>
      <c r="D59" s="37"/>
      <c r="E59" s="38">
        <f>E60</f>
        <v>350</v>
      </c>
      <c r="F59" s="38"/>
      <c r="G59" s="38">
        <f>G60</f>
        <v>194.1</v>
      </c>
      <c r="H59" s="38"/>
      <c r="I59" s="117"/>
    </row>
    <row r="60" spans="1:9" s="1" customFormat="1" ht="21.75" customHeight="1">
      <c r="A60" s="44" t="s">
        <v>175</v>
      </c>
      <c r="B60" s="37" t="s">
        <v>112</v>
      </c>
      <c r="C60" s="37" t="s">
        <v>588</v>
      </c>
      <c r="D60" s="37" t="s">
        <v>174</v>
      </c>
      <c r="E60" s="38">
        <f>E61</f>
        <v>350</v>
      </c>
      <c r="F60" s="38"/>
      <c r="G60" s="38">
        <f>G61</f>
        <v>194.1</v>
      </c>
      <c r="H60" s="38"/>
      <c r="I60" s="117"/>
    </row>
    <row r="61" spans="1:9" s="1" customFormat="1" ht="31.5" customHeight="1">
      <c r="A61" s="44" t="s">
        <v>177</v>
      </c>
      <c r="B61" s="37" t="s">
        <v>112</v>
      </c>
      <c r="C61" s="37" t="s">
        <v>588</v>
      </c>
      <c r="D61" s="37" t="s">
        <v>176</v>
      </c>
      <c r="E61" s="38">
        <f>200+50+100</f>
        <v>350</v>
      </c>
      <c r="F61" s="38"/>
      <c r="G61" s="38">
        <v>194.1</v>
      </c>
      <c r="H61" s="38"/>
      <c r="I61" s="117"/>
    </row>
    <row r="62" spans="1:9" s="1" customFormat="1" ht="44.25" customHeight="1">
      <c r="A62" s="52" t="s">
        <v>66</v>
      </c>
      <c r="B62" s="61" t="s">
        <v>67</v>
      </c>
      <c r="C62" s="61"/>
      <c r="D62" s="61"/>
      <c r="E62" s="11">
        <f>E108+E67+E63</f>
        <v>50977.799999999996</v>
      </c>
      <c r="F62" s="11">
        <f>F108</f>
        <v>0</v>
      </c>
      <c r="G62" s="11">
        <f>G108+G67+G63</f>
        <v>21043.3</v>
      </c>
      <c r="H62" s="11">
        <f>H108</f>
        <v>0</v>
      </c>
      <c r="I62" s="117"/>
    </row>
    <row r="63" spans="1:9" s="1" customFormat="1" ht="78.75" customHeight="1">
      <c r="A63" s="34" t="s">
        <v>275</v>
      </c>
      <c r="B63" s="37" t="s">
        <v>67</v>
      </c>
      <c r="C63" s="35" t="s">
        <v>247</v>
      </c>
      <c r="D63" s="61"/>
      <c r="E63" s="38">
        <f>E64</f>
        <v>3420.1</v>
      </c>
      <c r="F63" s="11"/>
      <c r="G63" s="38">
        <f>G64</f>
        <v>397.7</v>
      </c>
      <c r="H63" s="11"/>
      <c r="I63" s="117"/>
    </row>
    <row r="64" spans="1:9" s="1" customFormat="1" ht="35.25" customHeight="1">
      <c r="A64" s="44" t="s">
        <v>246</v>
      </c>
      <c r="B64" s="37" t="s">
        <v>67</v>
      </c>
      <c r="C64" s="35" t="s">
        <v>245</v>
      </c>
      <c r="D64" s="61"/>
      <c r="E64" s="38">
        <f>E65</f>
        <v>3420.1</v>
      </c>
      <c r="F64" s="11"/>
      <c r="G64" s="38">
        <f>G65</f>
        <v>397.7</v>
      </c>
      <c r="H64" s="11"/>
      <c r="I64" s="117"/>
    </row>
    <row r="65" spans="1:9" s="1" customFormat="1" ht="29.25" customHeight="1">
      <c r="A65" s="44" t="s">
        <v>175</v>
      </c>
      <c r="B65" s="37" t="s">
        <v>67</v>
      </c>
      <c r="C65" s="35" t="s">
        <v>245</v>
      </c>
      <c r="D65" s="37" t="s">
        <v>174</v>
      </c>
      <c r="E65" s="38">
        <f>E66</f>
        <v>3420.1</v>
      </c>
      <c r="F65" s="11"/>
      <c r="G65" s="38">
        <f>G66</f>
        <v>397.7</v>
      </c>
      <c r="H65" s="11"/>
      <c r="I65" s="117"/>
    </row>
    <row r="66" spans="1:9" s="1" customFormat="1" ht="33" customHeight="1">
      <c r="A66" s="44" t="s">
        <v>177</v>
      </c>
      <c r="B66" s="37" t="s">
        <v>67</v>
      </c>
      <c r="C66" s="35" t="s">
        <v>245</v>
      </c>
      <c r="D66" s="37" t="s">
        <v>176</v>
      </c>
      <c r="E66" s="38">
        <f>2804+316.1+300</f>
        <v>3420.1</v>
      </c>
      <c r="F66" s="11"/>
      <c r="G66" s="38">
        <v>397.7</v>
      </c>
      <c r="H66" s="11"/>
      <c r="I66" s="117"/>
    </row>
    <row r="67" spans="1:9" s="1" customFormat="1" ht="21" customHeight="1">
      <c r="A67" s="34" t="s">
        <v>251</v>
      </c>
      <c r="B67" s="37" t="s">
        <v>67</v>
      </c>
      <c r="C67" s="35" t="s">
        <v>21</v>
      </c>
      <c r="D67" s="37"/>
      <c r="E67" s="38">
        <f>E68+E71</f>
        <v>37047.5</v>
      </c>
      <c r="F67" s="38">
        <f>F108</f>
        <v>0</v>
      </c>
      <c r="G67" s="38">
        <f>G68+G71</f>
        <v>15249.3</v>
      </c>
      <c r="H67" s="38">
        <f>H108</f>
        <v>0</v>
      </c>
      <c r="I67" s="117"/>
    </row>
    <row r="68" spans="1:9" s="1" customFormat="1" ht="46.5" customHeight="1">
      <c r="A68" s="34" t="s">
        <v>325</v>
      </c>
      <c r="B68" s="37" t="s">
        <v>67</v>
      </c>
      <c r="C68" s="35" t="s">
        <v>28</v>
      </c>
      <c r="D68" s="37"/>
      <c r="E68" s="38">
        <f>E69</f>
        <v>350</v>
      </c>
      <c r="F68" s="38"/>
      <c r="G68" s="38">
        <f>G69</f>
        <v>16.9</v>
      </c>
      <c r="H68" s="38"/>
      <c r="I68" s="117"/>
    </row>
    <row r="69" spans="1:9" s="1" customFormat="1" ht="21" customHeight="1">
      <c r="A69" s="44" t="s">
        <v>175</v>
      </c>
      <c r="B69" s="37" t="s">
        <v>67</v>
      </c>
      <c r="C69" s="35" t="s">
        <v>29</v>
      </c>
      <c r="D69" s="37" t="s">
        <v>174</v>
      </c>
      <c r="E69" s="38">
        <f>E70</f>
        <v>350</v>
      </c>
      <c r="F69" s="38"/>
      <c r="G69" s="38">
        <f>G70</f>
        <v>16.9</v>
      </c>
      <c r="H69" s="38"/>
      <c r="I69" s="117"/>
    </row>
    <row r="70" spans="1:9" s="1" customFormat="1" ht="33" customHeight="1">
      <c r="A70" s="44" t="s">
        <v>177</v>
      </c>
      <c r="B70" s="37" t="s">
        <v>67</v>
      </c>
      <c r="C70" s="35" t="s">
        <v>29</v>
      </c>
      <c r="D70" s="37" t="s">
        <v>176</v>
      </c>
      <c r="E70" s="38">
        <f>250+100</f>
        <v>350</v>
      </c>
      <c r="F70" s="38"/>
      <c r="G70" s="38">
        <v>16.9</v>
      </c>
      <c r="H70" s="38"/>
      <c r="I70" s="117"/>
    </row>
    <row r="71" spans="1:9" s="1" customFormat="1" ht="21" customHeight="1">
      <c r="A71" s="39" t="s">
        <v>42</v>
      </c>
      <c r="B71" s="37" t="s">
        <v>67</v>
      </c>
      <c r="C71" s="35" t="s">
        <v>22</v>
      </c>
      <c r="D71" s="37"/>
      <c r="E71" s="38">
        <f>E72+E84</f>
        <v>36697.5</v>
      </c>
      <c r="F71" s="38"/>
      <c r="G71" s="38">
        <f>G72+G84</f>
        <v>15232.4</v>
      </c>
      <c r="H71" s="38"/>
      <c r="I71" s="117"/>
    </row>
    <row r="72" spans="1:9" s="1" customFormat="1" ht="21.75" customHeight="1">
      <c r="A72" s="39" t="s">
        <v>119</v>
      </c>
      <c r="B72" s="37" t="s">
        <v>67</v>
      </c>
      <c r="C72" s="37" t="s">
        <v>30</v>
      </c>
      <c r="D72" s="37"/>
      <c r="E72" s="38">
        <f>E73+E76+E79</f>
        <v>34687.4</v>
      </c>
      <c r="F72" s="38"/>
      <c r="G72" s="38">
        <f>G73+G76+G79</f>
        <v>14826.199999999999</v>
      </c>
      <c r="H72" s="38"/>
      <c r="I72" s="117"/>
    </row>
    <row r="73" spans="1:9" s="1" customFormat="1" ht="24.75" customHeight="1">
      <c r="A73" s="44" t="s">
        <v>159</v>
      </c>
      <c r="B73" s="37" t="s">
        <v>67</v>
      </c>
      <c r="C73" s="37" t="s">
        <v>31</v>
      </c>
      <c r="D73" s="37"/>
      <c r="E73" s="38">
        <f>E74</f>
        <v>13531.400000000001</v>
      </c>
      <c r="F73" s="38"/>
      <c r="G73" s="38">
        <f>G74</f>
        <v>5154.4</v>
      </c>
      <c r="H73" s="38"/>
      <c r="I73" s="117"/>
    </row>
    <row r="74" spans="1:9" s="1" customFormat="1" ht="63.75" customHeight="1">
      <c r="A74" s="41" t="s">
        <v>344</v>
      </c>
      <c r="B74" s="37" t="s">
        <v>67</v>
      </c>
      <c r="C74" s="37" t="s">
        <v>31</v>
      </c>
      <c r="D74" s="37" t="s">
        <v>180</v>
      </c>
      <c r="E74" s="38">
        <f>E75</f>
        <v>13531.400000000001</v>
      </c>
      <c r="F74" s="38"/>
      <c r="G74" s="38">
        <f>G75</f>
        <v>5154.4</v>
      </c>
      <c r="H74" s="38"/>
      <c r="I74" s="117"/>
    </row>
    <row r="75" spans="1:9" s="1" customFormat="1" ht="22.5" customHeight="1">
      <c r="A75" s="41" t="s">
        <v>173</v>
      </c>
      <c r="B75" s="37" t="s">
        <v>67</v>
      </c>
      <c r="C75" s="37" t="s">
        <v>31</v>
      </c>
      <c r="D75" s="37" t="s">
        <v>172</v>
      </c>
      <c r="E75" s="38">
        <f>9351+1889.6+2290.8</f>
        <v>13531.400000000001</v>
      </c>
      <c r="F75" s="38"/>
      <c r="G75" s="38">
        <v>5154.4</v>
      </c>
      <c r="H75" s="38"/>
      <c r="I75" s="117"/>
    </row>
    <row r="76" spans="1:9" s="1" customFormat="1" ht="24" customHeight="1">
      <c r="A76" s="44" t="s">
        <v>160</v>
      </c>
      <c r="B76" s="37" t="s">
        <v>67</v>
      </c>
      <c r="C76" s="37" t="s">
        <v>32</v>
      </c>
      <c r="D76" s="37"/>
      <c r="E76" s="38">
        <f>E77</f>
        <v>19226</v>
      </c>
      <c r="F76" s="38"/>
      <c r="G76" s="38">
        <f>G77</f>
        <v>8710.4</v>
      </c>
      <c r="H76" s="38"/>
      <c r="I76" s="117"/>
    </row>
    <row r="77" spans="1:9" s="1" customFormat="1" ht="61.5" customHeight="1">
      <c r="A77" s="41" t="s">
        <v>344</v>
      </c>
      <c r="B77" s="37" t="s">
        <v>67</v>
      </c>
      <c r="C77" s="37" t="s">
        <v>32</v>
      </c>
      <c r="D77" s="37" t="s">
        <v>180</v>
      </c>
      <c r="E77" s="38">
        <f>E78</f>
        <v>19226</v>
      </c>
      <c r="F77" s="38"/>
      <c r="G77" s="38">
        <f>G78</f>
        <v>8710.4</v>
      </c>
      <c r="H77" s="38"/>
      <c r="I77" s="117"/>
    </row>
    <row r="78" spans="1:9" s="1" customFormat="1" ht="19.5" customHeight="1">
      <c r="A78" s="41" t="s">
        <v>173</v>
      </c>
      <c r="B78" s="37" t="s">
        <v>67</v>
      </c>
      <c r="C78" s="37" t="s">
        <v>32</v>
      </c>
      <c r="D78" s="37" t="s">
        <v>172</v>
      </c>
      <c r="E78" s="38">
        <f>14444.4+4781.6</f>
        <v>19226</v>
      </c>
      <c r="F78" s="38"/>
      <c r="G78" s="38">
        <v>8710.4</v>
      </c>
      <c r="H78" s="38"/>
      <c r="I78" s="117"/>
    </row>
    <row r="79" spans="1:9" s="1" customFormat="1" ht="30.75" customHeight="1">
      <c r="A79" s="44" t="s">
        <v>71</v>
      </c>
      <c r="B79" s="37" t="s">
        <v>67</v>
      </c>
      <c r="C79" s="37" t="s">
        <v>33</v>
      </c>
      <c r="D79" s="37"/>
      <c r="E79" s="38">
        <f>E80+E82</f>
        <v>1930</v>
      </c>
      <c r="F79" s="38"/>
      <c r="G79" s="38">
        <f>G80+G82</f>
        <v>961.4</v>
      </c>
      <c r="H79" s="38"/>
      <c r="I79" s="117"/>
    </row>
    <row r="80" spans="1:9" s="1" customFormat="1" ht="20.25" customHeight="1">
      <c r="A80" s="44" t="s">
        <v>175</v>
      </c>
      <c r="B80" s="37" t="s">
        <v>67</v>
      </c>
      <c r="C80" s="37" t="s">
        <v>33</v>
      </c>
      <c r="D80" s="37" t="s">
        <v>174</v>
      </c>
      <c r="E80" s="38">
        <f>E81</f>
        <v>1892</v>
      </c>
      <c r="F80" s="38"/>
      <c r="G80" s="38">
        <f>G81</f>
        <v>940</v>
      </c>
      <c r="H80" s="38"/>
      <c r="I80" s="117"/>
    </row>
    <row r="81" spans="1:9" s="1" customFormat="1" ht="33.75" customHeight="1">
      <c r="A81" s="34" t="s">
        <v>177</v>
      </c>
      <c r="B81" s="37" t="s">
        <v>67</v>
      </c>
      <c r="C81" s="37" t="s">
        <v>33</v>
      </c>
      <c r="D81" s="37" t="s">
        <v>176</v>
      </c>
      <c r="E81" s="38">
        <f>2292-100-300</f>
        <v>1892</v>
      </c>
      <c r="F81" s="38"/>
      <c r="G81" s="38">
        <v>940</v>
      </c>
      <c r="H81" s="38"/>
      <c r="I81" s="117"/>
    </row>
    <row r="82" spans="1:9" s="1" customFormat="1" ht="23.25" customHeight="1">
      <c r="A82" s="56" t="s">
        <v>179</v>
      </c>
      <c r="B82" s="37" t="s">
        <v>67</v>
      </c>
      <c r="C82" s="37" t="s">
        <v>33</v>
      </c>
      <c r="D82" s="37" t="s">
        <v>178</v>
      </c>
      <c r="E82" s="38">
        <f>E83</f>
        <v>38</v>
      </c>
      <c r="F82" s="38"/>
      <c r="G82" s="38">
        <f>G83</f>
        <v>21.4</v>
      </c>
      <c r="H82" s="38"/>
      <c r="I82" s="117"/>
    </row>
    <row r="83" spans="1:9" s="1" customFormat="1" ht="18" customHeight="1">
      <c r="A83" s="44" t="s">
        <v>348</v>
      </c>
      <c r="B83" s="37" t="s">
        <v>67</v>
      </c>
      <c r="C83" s="37" t="s">
        <v>33</v>
      </c>
      <c r="D83" s="37" t="s">
        <v>347</v>
      </c>
      <c r="E83" s="38">
        <v>38</v>
      </c>
      <c r="F83" s="38"/>
      <c r="G83" s="38">
        <v>21.4</v>
      </c>
      <c r="H83" s="38"/>
      <c r="I83" s="117"/>
    </row>
    <row r="84" spans="1:9" s="1" customFormat="1" ht="92.25" customHeight="1">
      <c r="A84" s="56" t="s">
        <v>511</v>
      </c>
      <c r="B84" s="37" t="s">
        <v>67</v>
      </c>
      <c r="C84" s="37" t="s">
        <v>512</v>
      </c>
      <c r="D84" s="37"/>
      <c r="E84" s="38">
        <f>E85</f>
        <v>2010.1</v>
      </c>
      <c r="F84" s="38"/>
      <c r="G84" s="38">
        <f>G85</f>
        <v>406.20000000000005</v>
      </c>
      <c r="H84" s="38"/>
      <c r="I84" s="117"/>
    </row>
    <row r="85" spans="1:9" s="1" customFormat="1" ht="18" customHeight="1">
      <c r="A85" s="56" t="s">
        <v>119</v>
      </c>
      <c r="B85" s="37" t="s">
        <v>67</v>
      </c>
      <c r="C85" s="37" t="s">
        <v>512</v>
      </c>
      <c r="D85" s="37"/>
      <c r="E85" s="38">
        <f>E86</f>
        <v>2010.1</v>
      </c>
      <c r="F85" s="38"/>
      <c r="G85" s="38">
        <f>G86</f>
        <v>406.20000000000005</v>
      </c>
      <c r="H85" s="38"/>
      <c r="I85" s="117"/>
    </row>
    <row r="86" spans="1:9" s="1" customFormat="1" ht="68.25" customHeight="1">
      <c r="A86" s="40" t="s">
        <v>344</v>
      </c>
      <c r="B86" s="37" t="s">
        <v>67</v>
      </c>
      <c r="C86" s="37" t="s">
        <v>512</v>
      </c>
      <c r="D86" s="37" t="s">
        <v>180</v>
      </c>
      <c r="E86" s="38">
        <f>E87</f>
        <v>2010.1</v>
      </c>
      <c r="F86" s="38"/>
      <c r="G86" s="38">
        <f>G87</f>
        <v>406.20000000000005</v>
      </c>
      <c r="H86" s="38"/>
      <c r="I86" s="117"/>
    </row>
    <row r="87" spans="1:9" s="1" customFormat="1" ht="22.5" customHeight="1">
      <c r="A87" s="40" t="s">
        <v>173</v>
      </c>
      <c r="B87" s="37" t="s">
        <v>67</v>
      </c>
      <c r="C87" s="37" t="s">
        <v>512</v>
      </c>
      <c r="D87" s="37" t="s">
        <v>172</v>
      </c>
      <c r="E87" s="38">
        <f>E95+E99+E103+E107+E91</f>
        <v>2010.1</v>
      </c>
      <c r="F87" s="38"/>
      <c r="G87" s="38">
        <f>G95+G99+G103+G107+G91</f>
        <v>406.20000000000005</v>
      </c>
      <c r="H87" s="38"/>
      <c r="I87" s="117"/>
    </row>
    <row r="88" spans="1:9" s="1" customFormat="1" ht="90.75" customHeight="1">
      <c r="A88" s="56" t="s">
        <v>513</v>
      </c>
      <c r="B88" s="37" t="s">
        <v>67</v>
      </c>
      <c r="C88" s="37" t="s">
        <v>514</v>
      </c>
      <c r="D88" s="37"/>
      <c r="E88" s="38">
        <f>E89</f>
        <v>402</v>
      </c>
      <c r="F88" s="38"/>
      <c r="G88" s="38">
        <f>G89</f>
        <v>100.6</v>
      </c>
      <c r="H88" s="38"/>
      <c r="I88" s="117"/>
    </row>
    <row r="89" spans="1:9" s="1" customFormat="1" ht="22.5" customHeight="1">
      <c r="A89" s="56" t="s">
        <v>119</v>
      </c>
      <c r="B89" s="37" t="s">
        <v>67</v>
      </c>
      <c r="C89" s="37" t="s">
        <v>514</v>
      </c>
      <c r="D89" s="37"/>
      <c r="E89" s="38">
        <f>E90</f>
        <v>402</v>
      </c>
      <c r="F89" s="38"/>
      <c r="G89" s="38">
        <f>G90</f>
        <v>100.6</v>
      </c>
      <c r="H89" s="38"/>
      <c r="I89" s="117"/>
    </row>
    <row r="90" spans="1:9" s="1" customFormat="1" ht="63.75" customHeight="1">
      <c r="A90" s="40" t="s">
        <v>344</v>
      </c>
      <c r="B90" s="37" t="s">
        <v>67</v>
      </c>
      <c r="C90" s="37" t="s">
        <v>514</v>
      </c>
      <c r="D90" s="37" t="s">
        <v>180</v>
      </c>
      <c r="E90" s="38">
        <f>E91</f>
        <v>402</v>
      </c>
      <c r="F90" s="38"/>
      <c r="G90" s="38">
        <f>G91</f>
        <v>100.6</v>
      </c>
      <c r="H90" s="38"/>
      <c r="I90" s="117"/>
    </row>
    <row r="91" spans="1:9" s="1" customFormat="1" ht="22.5" customHeight="1">
      <c r="A91" s="40" t="s">
        <v>173</v>
      </c>
      <c r="B91" s="37" t="s">
        <v>67</v>
      </c>
      <c r="C91" s="37" t="s">
        <v>514</v>
      </c>
      <c r="D91" s="37" t="s">
        <v>172</v>
      </c>
      <c r="E91" s="38">
        <f>402</f>
        <v>402</v>
      </c>
      <c r="F91" s="38"/>
      <c r="G91" s="38">
        <v>100.6</v>
      </c>
      <c r="H91" s="38"/>
      <c r="I91" s="117"/>
    </row>
    <row r="92" spans="1:9" s="1" customFormat="1" ht="93" customHeight="1">
      <c r="A92" s="56" t="s">
        <v>515</v>
      </c>
      <c r="B92" s="37" t="s">
        <v>67</v>
      </c>
      <c r="C92" s="37" t="s">
        <v>516</v>
      </c>
      <c r="D92" s="37"/>
      <c r="E92" s="38">
        <f>E93</f>
        <v>402</v>
      </c>
      <c r="F92" s="38"/>
      <c r="G92" s="38">
        <f>G93</f>
        <v>0</v>
      </c>
      <c r="H92" s="38"/>
      <c r="I92" s="117"/>
    </row>
    <row r="93" spans="1:9" s="1" customFormat="1" ht="18" customHeight="1">
      <c r="A93" s="56" t="s">
        <v>119</v>
      </c>
      <c r="B93" s="37" t="s">
        <v>67</v>
      </c>
      <c r="C93" s="37" t="s">
        <v>516</v>
      </c>
      <c r="D93" s="37"/>
      <c r="E93" s="38">
        <f>E94</f>
        <v>402</v>
      </c>
      <c r="F93" s="38"/>
      <c r="G93" s="38">
        <f>G94</f>
        <v>0</v>
      </c>
      <c r="H93" s="38"/>
      <c r="I93" s="117"/>
    </row>
    <row r="94" spans="1:9" s="1" customFormat="1" ht="66" customHeight="1">
      <c r="A94" s="40" t="s">
        <v>344</v>
      </c>
      <c r="B94" s="37" t="s">
        <v>67</v>
      </c>
      <c r="C94" s="37" t="s">
        <v>516</v>
      </c>
      <c r="D94" s="37" t="s">
        <v>180</v>
      </c>
      <c r="E94" s="38">
        <f>E95</f>
        <v>402</v>
      </c>
      <c r="F94" s="38"/>
      <c r="G94" s="38">
        <f>G95</f>
        <v>0</v>
      </c>
      <c r="H94" s="38"/>
      <c r="I94" s="117"/>
    </row>
    <row r="95" spans="1:9" s="1" customFormat="1" ht="24.75" customHeight="1">
      <c r="A95" s="40" t="s">
        <v>173</v>
      </c>
      <c r="B95" s="37" t="s">
        <v>67</v>
      </c>
      <c r="C95" s="37" t="s">
        <v>516</v>
      </c>
      <c r="D95" s="37" t="s">
        <v>172</v>
      </c>
      <c r="E95" s="38">
        <f>402</f>
        <v>402</v>
      </c>
      <c r="F95" s="38"/>
      <c r="G95" s="38">
        <v>0</v>
      </c>
      <c r="H95" s="38"/>
      <c r="I95" s="117"/>
    </row>
    <row r="96" spans="1:9" s="1" customFormat="1" ht="92.25" customHeight="1">
      <c r="A96" s="56" t="s">
        <v>517</v>
      </c>
      <c r="B96" s="37" t="s">
        <v>67</v>
      </c>
      <c r="C96" s="37" t="s">
        <v>518</v>
      </c>
      <c r="D96" s="37"/>
      <c r="E96" s="38">
        <f>E97</f>
        <v>402.1</v>
      </c>
      <c r="F96" s="38"/>
      <c r="G96" s="38">
        <f>G97</f>
        <v>100.5</v>
      </c>
      <c r="H96" s="38"/>
      <c r="I96" s="117"/>
    </row>
    <row r="97" spans="1:9" s="1" customFormat="1" ht="18" customHeight="1">
      <c r="A97" s="56" t="s">
        <v>119</v>
      </c>
      <c r="B97" s="37" t="s">
        <v>67</v>
      </c>
      <c r="C97" s="37" t="s">
        <v>518</v>
      </c>
      <c r="D97" s="37"/>
      <c r="E97" s="38">
        <f>E98</f>
        <v>402.1</v>
      </c>
      <c r="F97" s="38"/>
      <c r="G97" s="38">
        <f>G98</f>
        <v>100.5</v>
      </c>
      <c r="H97" s="38"/>
      <c r="I97" s="117"/>
    </row>
    <row r="98" spans="1:9" s="1" customFormat="1" ht="67.5" customHeight="1">
      <c r="A98" s="40" t="s">
        <v>344</v>
      </c>
      <c r="B98" s="37" t="s">
        <v>67</v>
      </c>
      <c r="C98" s="37" t="s">
        <v>518</v>
      </c>
      <c r="D98" s="37" t="s">
        <v>180</v>
      </c>
      <c r="E98" s="38">
        <f>E99</f>
        <v>402.1</v>
      </c>
      <c r="F98" s="38"/>
      <c r="G98" s="38">
        <f>G99</f>
        <v>100.5</v>
      </c>
      <c r="H98" s="38"/>
      <c r="I98" s="117"/>
    </row>
    <row r="99" spans="1:9" s="1" customFormat="1" ht="18" customHeight="1">
      <c r="A99" s="40" t="s">
        <v>173</v>
      </c>
      <c r="B99" s="37" t="s">
        <v>67</v>
      </c>
      <c r="C99" s="37" t="s">
        <v>518</v>
      </c>
      <c r="D99" s="37" t="s">
        <v>172</v>
      </c>
      <c r="E99" s="38">
        <f>402.1</f>
        <v>402.1</v>
      </c>
      <c r="F99" s="38"/>
      <c r="G99" s="38">
        <v>100.5</v>
      </c>
      <c r="H99" s="38"/>
      <c r="I99" s="117"/>
    </row>
    <row r="100" spans="1:9" s="1" customFormat="1" ht="91.5" customHeight="1">
      <c r="A100" s="56" t="s">
        <v>519</v>
      </c>
      <c r="B100" s="37" t="s">
        <v>67</v>
      </c>
      <c r="C100" s="37" t="s">
        <v>520</v>
      </c>
      <c r="D100" s="37"/>
      <c r="E100" s="38">
        <f>E101</f>
        <v>402</v>
      </c>
      <c r="F100" s="38"/>
      <c r="G100" s="38">
        <f>G101</f>
        <v>100.3</v>
      </c>
      <c r="H100" s="38"/>
      <c r="I100" s="117"/>
    </row>
    <row r="101" spans="1:9" s="1" customFormat="1" ht="18" customHeight="1">
      <c r="A101" s="56" t="s">
        <v>119</v>
      </c>
      <c r="B101" s="37" t="s">
        <v>67</v>
      </c>
      <c r="C101" s="37" t="s">
        <v>520</v>
      </c>
      <c r="D101" s="37"/>
      <c r="E101" s="38">
        <f>E102</f>
        <v>402</v>
      </c>
      <c r="F101" s="38"/>
      <c r="G101" s="38">
        <f>G102</f>
        <v>100.3</v>
      </c>
      <c r="H101" s="38"/>
      <c r="I101" s="117"/>
    </row>
    <row r="102" spans="1:9" s="1" customFormat="1" ht="65.25" customHeight="1">
      <c r="A102" s="40" t="s">
        <v>344</v>
      </c>
      <c r="B102" s="37" t="s">
        <v>67</v>
      </c>
      <c r="C102" s="37" t="s">
        <v>520</v>
      </c>
      <c r="D102" s="37" t="s">
        <v>180</v>
      </c>
      <c r="E102" s="38">
        <f>E103</f>
        <v>402</v>
      </c>
      <c r="F102" s="38"/>
      <c r="G102" s="38">
        <f>G103</f>
        <v>100.3</v>
      </c>
      <c r="H102" s="38"/>
      <c r="I102" s="117"/>
    </row>
    <row r="103" spans="1:9" s="1" customFormat="1" ht="18" customHeight="1">
      <c r="A103" s="40" t="s">
        <v>173</v>
      </c>
      <c r="B103" s="37" t="s">
        <v>67</v>
      </c>
      <c r="C103" s="37" t="s">
        <v>520</v>
      </c>
      <c r="D103" s="37" t="s">
        <v>172</v>
      </c>
      <c r="E103" s="38">
        <v>402</v>
      </c>
      <c r="F103" s="38"/>
      <c r="G103" s="38">
        <v>100.3</v>
      </c>
      <c r="H103" s="38"/>
      <c r="I103" s="117"/>
    </row>
    <row r="104" spans="1:9" s="1" customFormat="1" ht="90" customHeight="1">
      <c r="A104" s="56" t="s">
        <v>521</v>
      </c>
      <c r="B104" s="37" t="s">
        <v>67</v>
      </c>
      <c r="C104" s="37" t="s">
        <v>522</v>
      </c>
      <c r="D104" s="37"/>
      <c r="E104" s="38">
        <f>E105</f>
        <v>402</v>
      </c>
      <c r="F104" s="38"/>
      <c r="G104" s="38">
        <f>G105</f>
        <v>104.8</v>
      </c>
      <c r="H104" s="38"/>
      <c r="I104" s="117"/>
    </row>
    <row r="105" spans="1:9" s="1" customFormat="1" ht="25.5" customHeight="1">
      <c r="A105" s="56" t="s">
        <v>119</v>
      </c>
      <c r="B105" s="37" t="s">
        <v>67</v>
      </c>
      <c r="C105" s="37" t="s">
        <v>522</v>
      </c>
      <c r="D105" s="37"/>
      <c r="E105" s="38">
        <f>E106</f>
        <v>402</v>
      </c>
      <c r="F105" s="38"/>
      <c r="G105" s="38">
        <f>G106</f>
        <v>104.8</v>
      </c>
      <c r="H105" s="38"/>
      <c r="I105" s="117"/>
    </row>
    <row r="106" spans="1:9" s="1" customFormat="1" ht="63.75" customHeight="1">
      <c r="A106" s="40" t="s">
        <v>344</v>
      </c>
      <c r="B106" s="37" t="s">
        <v>67</v>
      </c>
      <c r="C106" s="37" t="s">
        <v>522</v>
      </c>
      <c r="D106" s="37" t="s">
        <v>180</v>
      </c>
      <c r="E106" s="38">
        <f>E107</f>
        <v>402</v>
      </c>
      <c r="F106" s="38"/>
      <c r="G106" s="38">
        <f>G107</f>
        <v>104.8</v>
      </c>
      <c r="H106" s="38"/>
      <c r="I106" s="117"/>
    </row>
    <row r="107" spans="1:9" s="1" customFormat="1" ht="24" customHeight="1">
      <c r="A107" s="40" t="s">
        <v>173</v>
      </c>
      <c r="B107" s="37" t="s">
        <v>67</v>
      </c>
      <c r="C107" s="37" t="s">
        <v>522</v>
      </c>
      <c r="D107" s="37" t="s">
        <v>172</v>
      </c>
      <c r="E107" s="38">
        <f>402</f>
        <v>402</v>
      </c>
      <c r="F107" s="38"/>
      <c r="G107" s="38">
        <v>104.8</v>
      </c>
      <c r="H107" s="38"/>
      <c r="I107" s="117"/>
    </row>
    <row r="108" spans="1:9" s="1" customFormat="1" ht="23.25" customHeight="1">
      <c r="A108" s="34" t="s">
        <v>251</v>
      </c>
      <c r="B108" s="37" t="s">
        <v>67</v>
      </c>
      <c r="C108" s="37" t="s">
        <v>22</v>
      </c>
      <c r="D108" s="37"/>
      <c r="E108" s="38">
        <f>E109</f>
        <v>10510.2</v>
      </c>
      <c r="F108" s="38">
        <f>F111</f>
        <v>0</v>
      </c>
      <c r="G108" s="38">
        <f>G109</f>
        <v>5396.3</v>
      </c>
      <c r="H108" s="38">
        <f>H111</f>
        <v>0</v>
      </c>
      <c r="I108" s="117"/>
    </row>
    <row r="109" spans="1:9" s="1" customFormat="1" ht="30.75" customHeight="1">
      <c r="A109" s="100" t="s">
        <v>323</v>
      </c>
      <c r="B109" s="37" t="s">
        <v>67</v>
      </c>
      <c r="C109" s="35" t="s">
        <v>22</v>
      </c>
      <c r="D109" s="37"/>
      <c r="E109" s="38">
        <f>E110</f>
        <v>10510.2</v>
      </c>
      <c r="F109" s="38"/>
      <c r="G109" s="38">
        <f>G110</f>
        <v>5396.3</v>
      </c>
      <c r="H109" s="38"/>
      <c r="I109" s="117"/>
    </row>
    <row r="110" spans="1:9" s="1" customFormat="1" ht="20.25" customHeight="1">
      <c r="A110" s="39" t="s">
        <v>42</v>
      </c>
      <c r="B110" s="37" t="s">
        <v>67</v>
      </c>
      <c r="C110" s="35" t="s">
        <v>22</v>
      </c>
      <c r="D110" s="37"/>
      <c r="E110" s="38">
        <f>E111+E120+E123</f>
        <v>10510.2</v>
      </c>
      <c r="F110" s="38"/>
      <c r="G110" s="38">
        <f>G111+G120+G123</f>
        <v>5396.3</v>
      </c>
      <c r="H110" s="38"/>
      <c r="I110" s="117"/>
    </row>
    <row r="111" spans="1:9" s="1" customFormat="1" ht="17.25" customHeight="1">
      <c r="A111" s="39" t="s">
        <v>119</v>
      </c>
      <c r="B111" s="37" t="s">
        <v>67</v>
      </c>
      <c r="C111" s="37" t="s">
        <v>30</v>
      </c>
      <c r="D111" s="37"/>
      <c r="E111" s="38">
        <f>E112+E115</f>
        <v>4206.4</v>
      </c>
      <c r="F111" s="38"/>
      <c r="G111" s="38">
        <f>G112+G115</f>
        <v>2858.7000000000003</v>
      </c>
      <c r="H111" s="38"/>
      <c r="I111" s="117"/>
    </row>
    <row r="112" spans="1:9" s="1" customFormat="1" ht="21" customHeight="1">
      <c r="A112" s="44" t="s">
        <v>160</v>
      </c>
      <c r="B112" s="37" t="s">
        <v>67</v>
      </c>
      <c r="C112" s="37" t="s">
        <v>32</v>
      </c>
      <c r="D112" s="37"/>
      <c r="E112" s="38">
        <f>E113</f>
        <v>2935</v>
      </c>
      <c r="F112" s="38"/>
      <c r="G112" s="38">
        <f>G113</f>
        <v>2102.9</v>
      </c>
      <c r="H112" s="38"/>
      <c r="I112" s="117"/>
    </row>
    <row r="113" spans="1:9" s="1" customFormat="1" ht="61.5" customHeight="1">
      <c r="A113" s="41" t="s">
        <v>344</v>
      </c>
      <c r="B113" s="37" t="s">
        <v>67</v>
      </c>
      <c r="C113" s="37" t="s">
        <v>32</v>
      </c>
      <c r="D113" s="37" t="s">
        <v>180</v>
      </c>
      <c r="E113" s="38">
        <f>E114</f>
        <v>2935</v>
      </c>
      <c r="F113" s="38"/>
      <c r="G113" s="38">
        <f>G114</f>
        <v>2102.9</v>
      </c>
      <c r="H113" s="38"/>
      <c r="I113" s="117"/>
    </row>
    <row r="114" spans="1:9" s="1" customFormat="1" ht="21" customHeight="1">
      <c r="A114" s="41" t="s">
        <v>173</v>
      </c>
      <c r="B114" s="37" t="s">
        <v>67</v>
      </c>
      <c r="C114" s="37" t="s">
        <v>32</v>
      </c>
      <c r="D114" s="37" t="s">
        <v>172</v>
      </c>
      <c r="E114" s="38">
        <f>2935</f>
        <v>2935</v>
      </c>
      <c r="F114" s="38"/>
      <c r="G114" s="38">
        <v>2102.9</v>
      </c>
      <c r="H114" s="38"/>
      <c r="I114" s="117"/>
    </row>
    <row r="115" spans="1:9" s="1" customFormat="1" ht="30.75" customHeight="1">
      <c r="A115" s="44" t="s">
        <v>71</v>
      </c>
      <c r="B115" s="37" t="s">
        <v>67</v>
      </c>
      <c r="C115" s="37" t="s">
        <v>33</v>
      </c>
      <c r="D115" s="37"/>
      <c r="E115" s="38">
        <f>E116+E118</f>
        <v>1271.4</v>
      </c>
      <c r="F115" s="38"/>
      <c r="G115" s="38">
        <f>G116+G118</f>
        <v>755.8000000000001</v>
      </c>
      <c r="H115" s="38"/>
      <c r="I115" s="117"/>
    </row>
    <row r="116" spans="1:9" s="1" customFormat="1" ht="20.25" customHeight="1">
      <c r="A116" s="44" t="s">
        <v>175</v>
      </c>
      <c r="B116" s="37" t="s">
        <v>67</v>
      </c>
      <c r="C116" s="37" t="s">
        <v>33</v>
      </c>
      <c r="D116" s="37" t="s">
        <v>174</v>
      </c>
      <c r="E116" s="38">
        <f>E117</f>
        <v>1265.4</v>
      </c>
      <c r="F116" s="38"/>
      <c r="G116" s="38">
        <f>G117</f>
        <v>753.7</v>
      </c>
      <c r="H116" s="38"/>
      <c r="I116" s="117"/>
    </row>
    <row r="117" spans="1:9" s="1" customFormat="1" ht="31.5" customHeight="1">
      <c r="A117" s="44" t="s">
        <v>177</v>
      </c>
      <c r="B117" s="37" t="s">
        <v>67</v>
      </c>
      <c r="C117" s="37" t="s">
        <v>33</v>
      </c>
      <c r="D117" s="37" t="s">
        <v>176</v>
      </c>
      <c r="E117" s="38">
        <f>1681.8-250-0.3-316.1+150</f>
        <v>1265.4</v>
      </c>
      <c r="F117" s="38"/>
      <c r="G117" s="38">
        <v>753.7</v>
      </c>
      <c r="H117" s="38"/>
      <c r="I117" s="117"/>
    </row>
    <row r="118" spans="1:9" s="1" customFormat="1" ht="24.75" customHeight="1">
      <c r="A118" s="44" t="s">
        <v>179</v>
      </c>
      <c r="B118" s="37" t="s">
        <v>67</v>
      </c>
      <c r="C118" s="37" t="s">
        <v>33</v>
      </c>
      <c r="D118" s="37" t="s">
        <v>178</v>
      </c>
      <c r="E118" s="38">
        <f>E119</f>
        <v>6</v>
      </c>
      <c r="F118" s="38"/>
      <c r="G118" s="38">
        <f>G119</f>
        <v>2.1</v>
      </c>
      <c r="H118" s="38"/>
      <c r="I118" s="117"/>
    </row>
    <row r="119" spans="1:9" s="1" customFormat="1" ht="24" customHeight="1">
      <c r="A119" s="44" t="s">
        <v>348</v>
      </c>
      <c r="B119" s="37" t="s">
        <v>67</v>
      </c>
      <c r="C119" s="37" t="s">
        <v>33</v>
      </c>
      <c r="D119" s="37" t="s">
        <v>347</v>
      </c>
      <c r="E119" s="38">
        <v>6</v>
      </c>
      <c r="F119" s="38"/>
      <c r="G119" s="38">
        <v>2.1</v>
      </c>
      <c r="H119" s="38"/>
      <c r="I119" s="117"/>
    </row>
    <row r="120" spans="1:9" s="1" customFormat="1" ht="30" customHeight="1">
      <c r="A120" s="53" t="s">
        <v>509</v>
      </c>
      <c r="B120" s="37" t="s">
        <v>67</v>
      </c>
      <c r="C120" s="37" t="s">
        <v>322</v>
      </c>
      <c r="D120" s="37"/>
      <c r="E120" s="38">
        <f>E121</f>
        <v>2114.3</v>
      </c>
      <c r="F120" s="38"/>
      <c r="G120" s="38">
        <f>G121</f>
        <v>1466.9</v>
      </c>
      <c r="H120" s="38"/>
      <c r="I120" s="117"/>
    </row>
    <row r="121" spans="1:9" s="1" customFormat="1" ht="60.75" customHeight="1">
      <c r="A121" s="41" t="s">
        <v>344</v>
      </c>
      <c r="B121" s="37" t="s">
        <v>67</v>
      </c>
      <c r="C121" s="37" t="s">
        <v>322</v>
      </c>
      <c r="D121" s="37" t="s">
        <v>180</v>
      </c>
      <c r="E121" s="38">
        <f>E122</f>
        <v>2114.3</v>
      </c>
      <c r="F121" s="38"/>
      <c r="G121" s="38">
        <f>G122</f>
        <v>1466.9</v>
      </c>
      <c r="H121" s="38"/>
      <c r="I121" s="117"/>
    </row>
    <row r="122" spans="1:9" s="1" customFormat="1" ht="22.5" customHeight="1">
      <c r="A122" s="41" t="s">
        <v>173</v>
      </c>
      <c r="B122" s="37" t="s">
        <v>67</v>
      </c>
      <c r="C122" s="37" t="s">
        <v>322</v>
      </c>
      <c r="D122" s="37" t="s">
        <v>172</v>
      </c>
      <c r="E122" s="38">
        <f>2114.3</f>
        <v>2114.3</v>
      </c>
      <c r="F122" s="38"/>
      <c r="G122" s="38">
        <v>1466.9</v>
      </c>
      <c r="H122" s="38"/>
      <c r="I122" s="117"/>
    </row>
    <row r="123" spans="1:9" s="1" customFormat="1" ht="64.5" customHeight="1">
      <c r="A123" s="56" t="s">
        <v>523</v>
      </c>
      <c r="B123" s="37" t="s">
        <v>67</v>
      </c>
      <c r="C123" s="37" t="s">
        <v>524</v>
      </c>
      <c r="D123" s="37"/>
      <c r="E123" s="38">
        <f>E124+E127</f>
        <v>4189.5</v>
      </c>
      <c r="F123" s="38"/>
      <c r="G123" s="38">
        <f>G124+G127</f>
        <v>1070.6999999999998</v>
      </c>
      <c r="H123" s="38"/>
      <c r="I123" s="117"/>
    </row>
    <row r="124" spans="1:9" s="1" customFormat="1" ht="22.5" customHeight="1">
      <c r="A124" s="56" t="s">
        <v>160</v>
      </c>
      <c r="B124" s="37" t="s">
        <v>67</v>
      </c>
      <c r="C124" s="37" t="s">
        <v>524</v>
      </c>
      <c r="D124" s="37"/>
      <c r="E124" s="38">
        <f>E125</f>
        <v>3359.5</v>
      </c>
      <c r="F124" s="38"/>
      <c r="G124" s="38">
        <f>G125</f>
        <v>843.5999999999999</v>
      </c>
      <c r="H124" s="38"/>
      <c r="I124" s="117"/>
    </row>
    <row r="125" spans="1:9" s="1" customFormat="1" ht="63.75" customHeight="1">
      <c r="A125" s="40" t="s">
        <v>344</v>
      </c>
      <c r="B125" s="37" t="s">
        <v>67</v>
      </c>
      <c r="C125" s="37" t="s">
        <v>524</v>
      </c>
      <c r="D125" s="37" t="s">
        <v>180</v>
      </c>
      <c r="E125" s="38">
        <f>E126</f>
        <v>3359.5</v>
      </c>
      <c r="F125" s="38"/>
      <c r="G125" s="38">
        <f>G126</f>
        <v>843.5999999999999</v>
      </c>
      <c r="H125" s="38"/>
      <c r="I125" s="117"/>
    </row>
    <row r="126" spans="1:9" s="1" customFormat="1" ht="22.5" customHeight="1">
      <c r="A126" s="40" t="s">
        <v>173</v>
      </c>
      <c r="B126" s="37" t="s">
        <v>67</v>
      </c>
      <c r="C126" s="37" t="s">
        <v>524</v>
      </c>
      <c r="D126" s="37" t="s">
        <v>172</v>
      </c>
      <c r="E126" s="38">
        <f>E133+E140+E154+E161+E168+E175+E182+E189+E196+E147</f>
        <v>3359.5</v>
      </c>
      <c r="F126" s="38"/>
      <c r="G126" s="38">
        <f>G133+G140+G154+G161+G168+G175+G182+G189+G196+G147</f>
        <v>843.5999999999999</v>
      </c>
      <c r="H126" s="38"/>
      <c r="I126" s="117"/>
    </row>
    <row r="127" spans="1:9" s="1" customFormat="1" ht="32.25" customHeight="1">
      <c r="A127" s="56" t="s">
        <v>71</v>
      </c>
      <c r="B127" s="37" t="s">
        <v>67</v>
      </c>
      <c r="C127" s="37" t="s">
        <v>524</v>
      </c>
      <c r="D127" s="37"/>
      <c r="E127" s="38">
        <f>E128</f>
        <v>830</v>
      </c>
      <c r="F127" s="38"/>
      <c r="G127" s="38">
        <f>G128</f>
        <v>227.1</v>
      </c>
      <c r="H127" s="38"/>
      <c r="I127" s="117"/>
    </row>
    <row r="128" spans="1:9" s="1" customFormat="1" ht="22.5" customHeight="1">
      <c r="A128" s="56" t="s">
        <v>175</v>
      </c>
      <c r="B128" s="37" t="s">
        <v>67</v>
      </c>
      <c r="C128" s="37" t="s">
        <v>524</v>
      </c>
      <c r="D128" s="37" t="s">
        <v>174</v>
      </c>
      <c r="E128" s="38">
        <f>E129</f>
        <v>830</v>
      </c>
      <c r="F128" s="38"/>
      <c r="G128" s="38">
        <f>G129</f>
        <v>227.1</v>
      </c>
      <c r="H128" s="38"/>
      <c r="I128" s="117"/>
    </row>
    <row r="129" spans="1:9" s="1" customFormat="1" ht="33.75" customHeight="1">
      <c r="A129" s="56" t="s">
        <v>177</v>
      </c>
      <c r="B129" s="37" t="s">
        <v>67</v>
      </c>
      <c r="C129" s="37" t="s">
        <v>524</v>
      </c>
      <c r="D129" s="37" t="s">
        <v>176</v>
      </c>
      <c r="E129" s="38">
        <f>E136+E143+E157+E164+E171+E178+E185+E192+E199+E150</f>
        <v>830</v>
      </c>
      <c r="F129" s="38"/>
      <c r="G129" s="38">
        <f>G136+G143+G157+G164+G171+G178+G185+G192+G199+G150</f>
        <v>227.1</v>
      </c>
      <c r="H129" s="38"/>
      <c r="I129" s="117"/>
    </row>
    <row r="130" spans="1:9" s="1" customFormat="1" ht="75.75" customHeight="1">
      <c r="A130" s="56" t="s">
        <v>525</v>
      </c>
      <c r="B130" s="37" t="s">
        <v>67</v>
      </c>
      <c r="C130" s="37" t="s">
        <v>526</v>
      </c>
      <c r="D130" s="37"/>
      <c r="E130" s="38">
        <f>E131+E134</f>
        <v>394.2</v>
      </c>
      <c r="F130" s="38"/>
      <c r="G130" s="38">
        <f>G131+G134</f>
        <v>76</v>
      </c>
      <c r="H130" s="38"/>
      <c r="I130" s="117"/>
    </row>
    <row r="131" spans="1:9" s="1" customFormat="1" ht="22.5" customHeight="1">
      <c r="A131" s="56" t="s">
        <v>160</v>
      </c>
      <c r="B131" s="37" t="s">
        <v>67</v>
      </c>
      <c r="C131" s="37" t="s">
        <v>526</v>
      </c>
      <c r="D131" s="37"/>
      <c r="E131" s="38">
        <f>E132</f>
        <v>303.2</v>
      </c>
      <c r="F131" s="38"/>
      <c r="G131" s="38">
        <f>G132</f>
        <v>30.9</v>
      </c>
      <c r="H131" s="38"/>
      <c r="I131" s="117"/>
    </row>
    <row r="132" spans="1:9" s="1" customFormat="1" ht="65.25" customHeight="1">
      <c r="A132" s="40" t="s">
        <v>344</v>
      </c>
      <c r="B132" s="37" t="s">
        <v>67</v>
      </c>
      <c r="C132" s="37" t="s">
        <v>526</v>
      </c>
      <c r="D132" s="37" t="s">
        <v>180</v>
      </c>
      <c r="E132" s="38">
        <f>E133</f>
        <v>303.2</v>
      </c>
      <c r="F132" s="38"/>
      <c r="G132" s="38">
        <f>G133</f>
        <v>30.9</v>
      </c>
      <c r="H132" s="38"/>
      <c r="I132" s="117"/>
    </row>
    <row r="133" spans="1:9" s="1" customFormat="1" ht="22.5" customHeight="1">
      <c r="A133" s="40" t="s">
        <v>173</v>
      </c>
      <c r="B133" s="37" t="s">
        <v>67</v>
      </c>
      <c r="C133" s="37" t="s">
        <v>526</v>
      </c>
      <c r="D133" s="37" t="s">
        <v>172</v>
      </c>
      <c r="E133" s="38">
        <v>303.2</v>
      </c>
      <c r="F133" s="38"/>
      <c r="G133" s="38">
        <v>30.9</v>
      </c>
      <c r="H133" s="38"/>
      <c r="I133" s="117"/>
    </row>
    <row r="134" spans="1:9" s="1" customFormat="1" ht="36.75" customHeight="1">
      <c r="A134" s="56" t="s">
        <v>71</v>
      </c>
      <c r="B134" s="37" t="s">
        <v>67</v>
      </c>
      <c r="C134" s="37" t="s">
        <v>526</v>
      </c>
      <c r="D134" s="37"/>
      <c r="E134" s="38">
        <f>E135</f>
        <v>91</v>
      </c>
      <c r="F134" s="38"/>
      <c r="G134" s="38">
        <f>G135</f>
        <v>45.1</v>
      </c>
      <c r="H134" s="38"/>
      <c r="I134" s="117"/>
    </row>
    <row r="135" spans="1:9" s="1" customFormat="1" ht="22.5" customHeight="1">
      <c r="A135" s="56" t="s">
        <v>175</v>
      </c>
      <c r="B135" s="37" t="s">
        <v>67</v>
      </c>
      <c r="C135" s="37" t="s">
        <v>526</v>
      </c>
      <c r="D135" s="37" t="s">
        <v>174</v>
      </c>
      <c r="E135" s="38">
        <f>E136</f>
        <v>91</v>
      </c>
      <c r="F135" s="38"/>
      <c r="G135" s="38">
        <f>G136</f>
        <v>45.1</v>
      </c>
      <c r="H135" s="38"/>
      <c r="I135" s="117"/>
    </row>
    <row r="136" spans="1:9" s="1" customFormat="1" ht="37.5" customHeight="1">
      <c r="A136" s="56" t="s">
        <v>177</v>
      </c>
      <c r="B136" s="37" t="s">
        <v>67</v>
      </c>
      <c r="C136" s="37" t="s">
        <v>526</v>
      </c>
      <c r="D136" s="37" t="s">
        <v>176</v>
      </c>
      <c r="E136" s="38">
        <v>91</v>
      </c>
      <c r="F136" s="38"/>
      <c r="G136" s="38">
        <v>45.1</v>
      </c>
      <c r="H136" s="38"/>
      <c r="I136" s="117"/>
    </row>
    <row r="137" spans="1:9" s="1" customFormat="1" ht="75" customHeight="1">
      <c r="A137" s="56" t="s">
        <v>527</v>
      </c>
      <c r="B137" s="37" t="s">
        <v>67</v>
      </c>
      <c r="C137" s="37" t="s">
        <v>528</v>
      </c>
      <c r="D137" s="37"/>
      <c r="E137" s="38">
        <f>E138+E141</f>
        <v>1224.8999999999999</v>
      </c>
      <c r="F137" s="38"/>
      <c r="G137" s="38">
        <f>G138+G141</f>
        <v>561.3</v>
      </c>
      <c r="H137" s="38"/>
      <c r="I137" s="117"/>
    </row>
    <row r="138" spans="1:9" s="1" customFormat="1" ht="22.5" customHeight="1">
      <c r="A138" s="56" t="s">
        <v>160</v>
      </c>
      <c r="B138" s="37" t="s">
        <v>67</v>
      </c>
      <c r="C138" s="37" t="s">
        <v>528</v>
      </c>
      <c r="D138" s="37"/>
      <c r="E138" s="38">
        <f>E139</f>
        <v>1020.8</v>
      </c>
      <c r="F138" s="38"/>
      <c r="G138" s="38">
        <f>G139</f>
        <v>460</v>
      </c>
      <c r="H138" s="38"/>
      <c r="I138" s="117"/>
    </row>
    <row r="139" spans="1:9" s="1" customFormat="1" ht="63.75" customHeight="1">
      <c r="A139" s="40" t="s">
        <v>344</v>
      </c>
      <c r="B139" s="37" t="s">
        <v>67</v>
      </c>
      <c r="C139" s="37" t="s">
        <v>528</v>
      </c>
      <c r="D139" s="37" t="s">
        <v>180</v>
      </c>
      <c r="E139" s="38">
        <f>E140</f>
        <v>1020.8</v>
      </c>
      <c r="F139" s="38"/>
      <c r="G139" s="38">
        <f>G140</f>
        <v>460</v>
      </c>
      <c r="H139" s="38"/>
      <c r="I139" s="117"/>
    </row>
    <row r="140" spans="1:9" s="1" customFormat="1" ht="22.5" customHeight="1">
      <c r="A140" s="40" t="s">
        <v>173</v>
      </c>
      <c r="B140" s="37" t="s">
        <v>67</v>
      </c>
      <c r="C140" s="37" t="s">
        <v>528</v>
      </c>
      <c r="D140" s="37" t="s">
        <v>172</v>
      </c>
      <c r="E140" s="38">
        <v>1020.8</v>
      </c>
      <c r="F140" s="38"/>
      <c r="G140" s="38">
        <v>460</v>
      </c>
      <c r="H140" s="38"/>
      <c r="I140" s="117"/>
    </row>
    <row r="141" spans="1:9" s="1" customFormat="1" ht="33.75" customHeight="1">
      <c r="A141" s="56" t="s">
        <v>71</v>
      </c>
      <c r="B141" s="37" t="s">
        <v>67</v>
      </c>
      <c r="C141" s="37" t="s">
        <v>528</v>
      </c>
      <c r="D141" s="37"/>
      <c r="E141" s="38">
        <f>E142</f>
        <v>204.1</v>
      </c>
      <c r="F141" s="38"/>
      <c r="G141" s="38">
        <f>G142</f>
        <v>101.3</v>
      </c>
      <c r="H141" s="38"/>
      <c r="I141" s="117"/>
    </row>
    <row r="142" spans="1:9" s="1" customFormat="1" ht="22.5" customHeight="1">
      <c r="A142" s="56" t="s">
        <v>175</v>
      </c>
      <c r="B142" s="37" t="s">
        <v>67</v>
      </c>
      <c r="C142" s="37" t="s">
        <v>528</v>
      </c>
      <c r="D142" s="37" t="s">
        <v>174</v>
      </c>
      <c r="E142" s="38">
        <f>E143</f>
        <v>204.1</v>
      </c>
      <c r="F142" s="38"/>
      <c r="G142" s="38">
        <f>G143</f>
        <v>101.3</v>
      </c>
      <c r="H142" s="38"/>
      <c r="I142" s="117"/>
    </row>
    <row r="143" spans="1:9" s="1" customFormat="1" ht="37.5" customHeight="1">
      <c r="A143" s="56" t="s">
        <v>177</v>
      </c>
      <c r="B143" s="37" t="s">
        <v>67</v>
      </c>
      <c r="C143" s="37" t="s">
        <v>528</v>
      </c>
      <c r="D143" s="37" t="s">
        <v>176</v>
      </c>
      <c r="E143" s="38">
        <v>204.1</v>
      </c>
      <c r="F143" s="38"/>
      <c r="G143" s="38">
        <v>101.3</v>
      </c>
      <c r="H143" s="38"/>
      <c r="I143" s="117"/>
    </row>
    <row r="144" spans="1:9" s="1" customFormat="1" ht="77.25" customHeight="1">
      <c r="A144" s="56" t="s">
        <v>529</v>
      </c>
      <c r="B144" s="37" t="s">
        <v>67</v>
      </c>
      <c r="C144" s="37" t="s">
        <v>530</v>
      </c>
      <c r="D144" s="37"/>
      <c r="E144" s="38">
        <f>E145+E148</f>
        <v>183.60000000000002</v>
      </c>
      <c r="F144" s="38"/>
      <c r="G144" s="38">
        <f>G145+G148</f>
        <v>12</v>
      </c>
      <c r="H144" s="38"/>
      <c r="I144" s="117"/>
    </row>
    <row r="145" spans="1:9" s="1" customFormat="1" ht="22.5" customHeight="1">
      <c r="A145" s="56" t="s">
        <v>160</v>
      </c>
      <c r="B145" s="37" t="s">
        <v>67</v>
      </c>
      <c r="C145" s="37" t="s">
        <v>530</v>
      </c>
      <c r="D145" s="37"/>
      <c r="E145" s="38">
        <f>E146</f>
        <v>141.3</v>
      </c>
      <c r="F145" s="38"/>
      <c r="G145" s="38">
        <f>G146</f>
        <v>8.1</v>
      </c>
      <c r="H145" s="38"/>
      <c r="I145" s="117"/>
    </row>
    <row r="146" spans="1:9" s="1" customFormat="1" ht="66" customHeight="1">
      <c r="A146" s="40" t="s">
        <v>344</v>
      </c>
      <c r="B146" s="37" t="s">
        <v>67</v>
      </c>
      <c r="C146" s="37" t="s">
        <v>530</v>
      </c>
      <c r="D146" s="37" t="s">
        <v>180</v>
      </c>
      <c r="E146" s="38">
        <f>E147</f>
        <v>141.3</v>
      </c>
      <c r="F146" s="38"/>
      <c r="G146" s="38">
        <f>G147</f>
        <v>8.1</v>
      </c>
      <c r="H146" s="38"/>
      <c r="I146" s="117"/>
    </row>
    <row r="147" spans="1:9" s="1" customFormat="1" ht="22.5" customHeight="1">
      <c r="A147" s="40" t="s">
        <v>173</v>
      </c>
      <c r="B147" s="37" t="s">
        <v>67</v>
      </c>
      <c r="C147" s="37" t="s">
        <v>530</v>
      </c>
      <c r="D147" s="37" t="s">
        <v>172</v>
      </c>
      <c r="E147" s="38">
        <v>141.3</v>
      </c>
      <c r="F147" s="38"/>
      <c r="G147" s="38">
        <v>8.1</v>
      </c>
      <c r="H147" s="38"/>
      <c r="I147" s="117"/>
    </row>
    <row r="148" spans="1:9" s="1" customFormat="1" ht="34.5" customHeight="1">
      <c r="A148" s="56" t="s">
        <v>71</v>
      </c>
      <c r="B148" s="37" t="s">
        <v>67</v>
      </c>
      <c r="C148" s="37" t="s">
        <v>530</v>
      </c>
      <c r="D148" s="37"/>
      <c r="E148" s="38">
        <f>E149</f>
        <v>42.3</v>
      </c>
      <c r="F148" s="38"/>
      <c r="G148" s="38">
        <f>G149</f>
        <v>3.9</v>
      </c>
      <c r="H148" s="38"/>
      <c r="I148" s="117"/>
    </row>
    <row r="149" spans="1:9" s="1" customFormat="1" ht="22.5" customHeight="1">
      <c r="A149" s="56" t="s">
        <v>175</v>
      </c>
      <c r="B149" s="37" t="s">
        <v>67</v>
      </c>
      <c r="C149" s="37" t="s">
        <v>530</v>
      </c>
      <c r="D149" s="37" t="s">
        <v>174</v>
      </c>
      <c r="E149" s="38">
        <f>E150</f>
        <v>42.3</v>
      </c>
      <c r="F149" s="38"/>
      <c r="G149" s="38">
        <f>G150</f>
        <v>3.9</v>
      </c>
      <c r="H149" s="38"/>
      <c r="I149" s="117"/>
    </row>
    <row r="150" spans="1:9" s="1" customFormat="1" ht="39.75" customHeight="1">
      <c r="A150" s="56" t="s">
        <v>177</v>
      </c>
      <c r="B150" s="37" t="s">
        <v>67</v>
      </c>
      <c r="C150" s="37" t="s">
        <v>530</v>
      </c>
      <c r="D150" s="37" t="s">
        <v>176</v>
      </c>
      <c r="E150" s="38">
        <v>42.3</v>
      </c>
      <c r="F150" s="38"/>
      <c r="G150" s="38">
        <v>3.9</v>
      </c>
      <c r="H150" s="38"/>
      <c r="I150" s="117"/>
    </row>
    <row r="151" spans="1:9" s="1" customFormat="1" ht="77.25" customHeight="1">
      <c r="A151" s="56" t="s">
        <v>531</v>
      </c>
      <c r="B151" s="37" t="s">
        <v>67</v>
      </c>
      <c r="C151" s="37" t="s">
        <v>532</v>
      </c>
      <c r="D151" s="37"/>
      <c r="E151" s="38">
        <f>E152+E155</f>
        <v>804</v>
      </c>
      <c r="F151" s="38"/>
      <c r="G151" s="38">
        <f>G152+G155</f>
        <v>0</v>
      </c>
      <c r="H151" s="38"/>
      <c r="I151" s="117"/>
    </row>
    <row r="152" spans="1:9" s="1" customFormat="1" ht="22.5" customHeight="1">
      <c r="A152" s="56" t="s">
        <v>160</v>
      </c>
      <c r="B152" s="37" t="s">
        <v>67</v>
      </c>
      <c r="C152" s="37" t="s">
        <v>532</v>
      </c>
      <c r="D152" s="37"/>
      <c r="E152" s="38">
        <f>E153</f>
        <v>670.1</v>
      </c>
      <c r="F152" s="38"/>
      <c r="G152" s="38">
        <f>G153</f>
        <v>0</v>
      </c>
      <c r="H152" s="38"/>
      <c r="I152" s="117"/>
    </row>
    <row r="153" spans="1:9" s="1" customFormat="1" ht="69" customHeight="1">
      <c r="A153" s="40" t="s">
        <v>344</v>
      </c>
      <c r="B153" s="37" t="s">
        <v>67</v>
      </c>
      <c r="C153" s="37" t="s">
        <v>532</v>
      </c>
      <c r="D153" s="37" t="s">
        <v>180</v>
      </c>
      <c r="E153" s="38">
        <f>E154</f>
        <v>670.1</v>
      </c>
      <c r="F153" s="38"/>
      <c r="G153" s="38">
        <f>G154</f>
        <v>0</v>
      </c>
      <c r="H153" s="38"/>
      <c r="I153" s="117"/>
    </row>
    <row r="154" spans="1:9" s="1" customFormat="1" ht="22.5" customHeight="1">
      <c r="A154" s="40" t="s">
        <v>173</v>
      </c>
      <c r="B154" s="37" t="s">
        <v>67</v>
      </c>
      <c r="C154" s="37" t="s">
        <v>532</v>
      </c>
      <c r="D154" s="37" t="s">
        <v>172</v>
      </c>
      <c r="E154" s="38">
        <v>670.1</v>
      </c>
      <c r="F154" s="38"/>
      <c r="G154" s="38">
        <v>0</v>
      </c>
      <c r="H154" s="38"/>
      <c r="I154" s="117"/>
    </row>
    <row r="155" spans="1:9" s="1" customFormat="1" ht="33.75" customHeight="1">
      <c r="A155" s="56" t="s">
        <v>71</v>
      </c>
      <c r="B155" s="37" t="s">
        <v>67</v>
      </c>
      <c r="C155" s="37" t="s">
        <v>532</v>
      </c>
      <c r="D155" s="37"/>
      <c r="E155" s="38">
        <f>E156</f>
        <v>133.9</v>
      </c>
      <c r="F155" s="38"/>
      <c r="G155" s="38">
        <f>G156</f>
        <v>0</v>
      </c>
      <c r="H155" s="38"/>
      <c r="I155" s="117"/>
    </row>
    <row r="156" spans="1:9" s="1" customFormat="1" ht="22.5" customHeight="1">
      <c r="A156" s="56" t="s">
        <v>175</v>
      </c>
      <c r="B156" s="37" t="s">
        <v>67</v>
      </c>
      <c r="C156" s="37" t="s">
        <v>532</v>
      </c>
      <c r="D156" s="37" t="s">
        <v>174</v>
      </c>
      <c r="E156" s="38">
        <f>E157</f>
        <v>133.9</v>
      </c>
      <c r="F156" s="38"/>
      <c r="G156" s="38">
        <f>G157</f>
        <v>0</v>
      </c>
      <c r="H156" s="38"/>
      <c r="I156" s="117"/>
    </row>
    <row r="157" spans="1:9" s="1" customFormat="1" ht="34.5" customHeight="1">
      <c r="A157" s="56" t="s">
        <v>177</v>
      </c>
      <c r="B157" s="37" t="s">
        <v>67</v>
      </c>
      <c r="C157" s="37" t="s">
        <v>532</v>
      </c>
      <c r="D157" s="37" t="s">
        <v>176</v>
      </c>
      <c r="E157" s="38">
        <v>133.9</v>
      </c>
      <c r="F157" s="38"/>
      <c r="G157" s="38">
        <v>0</v>
      </c>
      <c r="H157" s="38"/>
      <c r="I157" s="117"/>
    </row>
    <row r="158" spans="1:9" s="1" customFormat="1" ht="77.25" customHeight="1">
      <c r="A158" s="56" t="s">
        <v>533</v>
      </c>
      <c r="B158" s="37" t="s">
        <v>67</v>
      </c>
      <c r="C158" s="37" t="s">
        <v>534</v>
      </c>
      <c r="D158" s="37"/>
      <c r="E158" s="38">
        <f>E159+E162</f>
        <v>279.3</v>
      </c>
      <c r="F158" s="38"/>
      <c r="G158" s="38">
        <f>G159+G162</f>
        <v>107.5</v>
      </c>
      <c r="H158" s="38"/>
      <c r="I158" s="117"/>
    </row>
    <row r="159" spans="1:9" s="1" customFormat="1" ht="22.5" customHeight="1">
      <c r="A159" s="56" t="s">
        <v>160</v>
      </c>
      <c r="B159" s="37" t="s">
        <v>67</v>
      </c>
      <c r="C159" s="37" t="s">
        <v>534</v>
      </c>
      <c r="D159" s="37"/>
      <c r="E159" s="38">
        <f>E160</f>
        <v>232.7</v>
      </c>
      <c r="F159" s="38"/>
      <c r="G159" s="38">
        <f>G160</f>
        <v>107.5</v>
      </c>
      <c r="H159" s="38"/>
      <c r="I159" s="117"/>
    </row>
    <row r="160" spans="1:9" s="1" customFormat="1" ht="69.75" customHeight="1">
      <c r="A160" s="40" t="s">
        <v>344</v>
      </c>
      <c r="B160" s="37" t="s">
        <v>67</v>
      </c>
      <c r="C160" s="37" t="s">
        <v>534</v>
      </c>
      <c r="D160" s="37" t="s">
        <v>180</v>
      </c>
      <c r="E160" s="38">
        <f>E161</f>
        <v>232.7</v>
      </c>
      <c r="F160" s="38"/>
      <c r="G160" s="38">
        <f>G161</f>
        <v>107.5</v>
      </c>
      <c r="H160" s="38"/>
      <c r="I160" s="117"/>
    </row>
    <row r="161" spans="1:9" s="1" customFormat="1" ht="22.5" customHeight="1">
      <c r="A161" s="40" t="s">
        <v>173</v>
      </c>
      <c r="B161" s="37" t="s">
        <v>67</v>
      </c>
      <c r="C161" s="37" t="s">
        <v>534</v>
      </c>
      <c r="D161" s="37" t="s">
        <v>172</v>
      </c>
      <c r="E161" s="38">
        <v>232.7</v>
      </c>
      <c r="F161" s="38"/>
      <c r="G161" s="38">
        <v>107.5</v>
      </c>
      <c r="H161" s="38"/>
      <c r="I161" s="117"/>
    </row>
    <row r="162" spans="1:9" s="1" customFormat="1" ht="33.75" customHeight="1">
      <c r="A162" s="56" t="s">
        <v>71</v>
      </c>
      <c r="B162" s="37" t="s">
        <v>67</v>
      </c>
      <c r="C162" s="37" t="s">
        <v>534</v>
      </c>
      <c r="D162" s="37"/>
      <c r="E162" s="38">
        <f>E163</f>
        <v>46.6</v>
      </c>
      <c r="F162" s="38"/>
      <c r="G162" s="38">
        <f>G163</f>
        <v>0</v>
      </c>
      <c r="H162" s="38"/>
      <c r="I162" s="117"/>
    </row>
    <row r="163" spans="1:9" s="1" customFormat="1" ht="22.5" customHeight="1">
      <c r="A163" s="56" t="s">
        <v>175</v>
      </c>
      <c r="B163" s="37" t="s">
        <v>67</v>
      </c>
      <c r="C163" s="37" t="s">
        <v>534</v>
      </c>
      <c r="D163" s="37" t="s">
        <v>174</v>
      </c>
      <c r="E163" s="38">
        <f>E164</f>
        <v>46.6</v>
      </c>
      <c r="F163" s="38"/>
      <c r="G163" s="38">
        <f>G164</f>
        <v>0</v>
      </c>
      <c r="H163" s="38"/>
      <c r="I163" s="117"/>
    </row>
    <row r="164" spans="1:9" s="1" customFormat="1" ht="39" customHeight="1">
      <c r="A164" s="56" t="s">
        <v>177</v>
      </c>
      <c r="B164" s="37" t="s">
        <v>67</v>
      </c>
      <c r="C164" s="37" t="s">
        <v>534</v>
      </c>
      <c r="D164" s="37" t="s">
        <v>176</v>
      </c>
      <c r="E164" s="38">
        <v>46.6</v>
      </c>
      <c r="F164" s="38"/>
      <c r="G164" s="38">
        <v>0</v>
      </c>
      <c r="H164" s="38"/>
      <c r="I164" s="117"/>
    </row>
    <row r="165" spans="1:9" s="1" customFormat="1" ht="85.5" customHeight="1">
      <c r="A165" s="56" t="s">
        <v>535</v>
      </c>
      <c r="B165" s="37" t="s">
        <v>67</v>
      </c>
      <c r="C165" s="37" t="s">
        <v>536</v>
      </c>
      <c r="D165" s="37"/>
      <c r="E165" s="38">
        <f>E166+E169</f>
        <v>244.2</v>
      </c>
      <c r="F165" s="38"/>
      <c r="G165" s="38">
        <f>G166+G169</f>
        <v>0</v>
      </c>
      <c r="H165" s="38"/>
      <c r="I165" s="117"/>
    </row>
    <row r="166" spans="1:9" s="1" customFormat="1" ht="22.5" customHeight="1">
      <c r="A166" s="56" t="s">
        <v>160</v>
      </c>
      <c r="B166" s="37" t="s">
        <v>67</v>
      </c>
      <c r="C166" s="37" t="s">
        <v>536</v>
      </c>
      <c r="D166" s="37"/>
      <c r="E166" s="38">
        <f>E167</f>
        <v>187.9</v>
      </c>
      <c r="F166" s="38"/>
      <c r="G166" s="38">
        <f>G167</f>
        <v>0</v>
      </c>
      <c r="H166" s="38"/>
      <c r="I166" s="117"/>
    </row>
    <row r="167" spans="1:9" s="1" customFormat="1" ht="63.75" customHeight="1">
      <c r="A167" s="40" t="s">
        <v>344</v>
      </c>
      <c r="B167" s="37" t="s">
        <v>67</v>
      </c>
      <c r="C167" s="37" t="s">
        <v>536</v>
      </c>
      <c r="D167" s="37" t="s">
        <v>180</v>
      </c>
      <c r="E167" s="38">
        <f>E168</f>
        <v>187.9</v>
      </c>
      <c r="F167" s="38"/>
      <c r="G167" s="38">
        <f>G168</f>
        <v>0</v>
      </c>
      <c r="H167" s="38"/>
      <c r="I167" s="117"/>
    </row>
    <row r="168" spans="1:9" s="1" customFormat="1" ht="22.5" customHeight="1">
      <c r="A168" s="40" t="s">
        <v>173</v>
      </c>
      <c r="B168" s="37" t="s">
        <v>67</v>
      </c>
      <c r="C168" s="37" t="s">
        <v>536</v>
      </c>
      <c r="D168" s="37" t="s">
        <v>172</v>
      </c>
      <c r="E168" s="38">
        <v>187.9</v>
      </c>
      <c r="F168" s="38"/>
      <c r="G168" s="38">
        <v>0</v>
      </c>
      <c r="H168" s="38"/>
      <c r="I168" s="117"/>
    </row>
    <row r="169" spans="1:9" s="1" customFormat="1" ht="31.5" customHeight="1">
      <c r="A169" s="56" t="s">
        <v>71</v>
      </c>
      <c r="B169" s="37" t="s">
        <v>67</v>
      </c>
      <c r="C169" s="37" t="s">
        <v>536</v>
      </c>
      <c r="D169" s="37"/>
      <c r="E169" s="38">
        <f>E170</f>
        <v>56.3</v>
      </c>
      <c r="F169" s="38"/>
      <c r="G169" s="38">
        <f>G170</f>
        <v>0</v>
      </c>
      <c r="H169" s="38"/>
      <c r="I169" s="117"/>
    </row>
    <row r="170" spans="1:9" s="1" customFormat="1" ht="22.5" customHeight="1">
      <c r="A170" s="56" t="s">
        <v>175</v>
      </c>
      <c r="B170" s="37" t="s">
        <v>67</v>
      </c>
      <c r="C170" s="37" t="s">
        <v>536</v>
      </c>
      <c r="D170" s="37" t="s">
        <v>174</v>
      </c>
      <c r="E170" s="38">
        <f>E171</f>
        <v>56.3</v>
      </c>
      <c r="F170" s="38"/>
      <c r="G170" s="38">
        <f>G171</f>
        <v>0</v>
      </c>
      <c r="H170" s="38"/>
      <c r="I170" s="117"/>
    </row>
    <row r="171" spans="1:9" s="1" customFormat="1" ht="39" customHeight="1">
      <c r="A171" s="56" t="s">
        <v>177</v>
      </c>
      <c r="B171" s="37" t="s">
        <v>67</v>
      </c>
      <c r="C171" s="37" t="s">
        <v>536</v>
      </c>
      <c r="D171" s="37" t="s">
        <v>176</v>
      </c>
      <c r="E171" s="38">
        <v>56.3</v>
      </c>
      <c r="F171" s="38"/>
      <c r="G171" s="38">
        <v>0</v>
      </c>
      <c r="H171" s="38"/>
      <c r="I171" s="117"/>
    </row>
    <row r="172" spans="1:9" s="1" customFormat="1" ht="83.25" customHeight="1">
      <c r="A172" s="56" t="s">
        <v>537</v>
      </c>
      <c r="B172" s="37" t="s">
        <v>67</v>
      </c>
      <c r="C172" s="37" t="s">
        <v>538</v>
      </c>
      <c r="D172" s="37"/>
      <c r="E172" s="38">
        <f>E173+E176</f>
        <v>203.1</v>
      </c>
      <c r="F172" s="38"/>
      <c r="G172" s="38">
        <f>G173+G176</f>
        <v>0</v>
      </c>
      <c r="H172" s="38"/>
      <c r="I172" s="117"/>
    </row>
    <row r="173" spans="1:9" s="1" customFormat="1" ht="22.5" customHeight="1">
      <c r="A173" s="56" t="s">
        <v>160</v>
      </c>
      <c r="B173" s="37" t="s">
        <v>67</v>
      </c>
      <c r="C173" s="37" t="s">
        <v>538</v>
      </c>
      <c r="D173" s="37"/>
      <c r="E173" s="38">
        <f>E174</f>
        <v>156.2</v>
      </c>
      <c r="F173" s="38"/>
      <c r="G173" s="38">
        <f>G174</f>
        <v>0</v>
      </c>
      <c r="H173" s="38"/>
      <c r="I173" s="117"/>
    </row>
    <row r="174" spans="1:9" s="1" customFormat="1" ht="64.5" customHeight="1">
      <c r="A174" s="40" t="s">
        <v>344</v>
      </c>
      <c r="B174" s="37" t="s">
        <v>67</v>
      </c>
      <c r="C174" s="37" t="s">
        <v>538</v>
      </c>
      <c r="D174" s="37" t="s">
        <v>180</v>
      </c>
      <c r="E174" s="38">
        <f>E175</f>
        <v>156.2</v>
      </c>
      <c r="F174" s="38"/>
      <c r="G174" s="38">
        <f>G175</f>
        <v>0</v>
      </c>
      <c r="H174" s="38"/>
      <c r="I174" s="117"/>
    </row>
    <row r="175" spans="1:9" s="1" customFormat="1" ht="22.5" customHeight="1">
      <c r="A175" s="40" t="s">
        <v>173</v>
      </c>
      <c r="B175" s="37" t="s">
        <v>67</v>
      </c>
      <c r="C175" s="37" t="s">
        <v>538</v>
      </c>
      <c r="D175" s="37" t="s">
        <v>172</v>
      </c>
      <c r="E175" s="38">
        <v>156.2</v>
      </c>
      <c r="F175" s="38"/>
      <c r="G175" s="38">
        <v>0</v>
      </c>
      <c r="H175" s="38"/>
      <c r="I175" s="117"/>
    </row>
    <row r="176" spans="1:9" s="1" customFormat="1" ht="38.25" customHeight="1">
      <c r="A176" s="56" t="s">
        <v>71</v>
      </c>
      <c r="B176" s="37" t="s">
        <v>67</v>
      </c>
      <c r="C176" s="37" t="s">
        <v>538</v>
      </c>
      <c r="D176" s="37"/>
      <c r="E176" s="38">
        <f>E177</f>
        <v>46.9</v>
      </c>
      <c r="F176" s="38"/>
      <c r="G176" s="38">
        <f>G177</f>
        <v>0</v>
      </c>
      <c r="H176" s="38"/>
      <c r="I176" s="117"/>
    </row>
    <row r="177" spans="1:9" s="1" customFormat="1" ht="22.5" customHeight="1">
      <c r="A177" s="56" t="s">
        <v>175</v>
      </c>
      <c r="B177" s="37" t="s">
        <v>67</v>
      </c>
      <c r="C177" s="37" t="s">
        <v>538</v>
      </c>
      <c r="D177" s="37" t="s">
        <v>174</v>
      </c>
      <c r="E177" s="38">
        <f>E178</f>
        <v>46.9</v>
      </c>
      <c r="F177" s="38"/>
      <c r="G177" s="38">
        <f>G178</f>
        <v>0</v>
      </c>
      <c r="H177" s="38"/>
      <c r="I177" s="117"/>
    </row>
    <row r="178" spans="1:9" s="1" customFormat="1" ht="36" customHeight="1">
      <c r="A178" s="56" t="s">
        <v>177</v>
      </c>
      <c r="B178" s="37" t="s">
        <v>67</v>
      </c>
      <c r="C178" s="37" t="s">
        <v>538</v>
      </c>
      <c r="D178" s="37" t="s">
        <v>176</v>
      </c>
      <c r="E178" s="38">
        <v>46.9</v>
      </c>
      <c r="F178" s="38"/>
      <c r="G178" s="38">
        <v>0</v>
      </c>
      <c r="H178" s="38"/>
      <c r="I178" s="117"/>
    </row>
    <row r="179" spans="1:9" s="1" customFormat="1" ht="82.5" customHeight="1">
      <c r="A179" s="56" t="s">
        <v>539</v>
      </c>
      <c r="B179" s="37" t="s">
        <v>67</v>
      </c>
      <c r="C179" s="37" t="s">
        <v>540</v>
      </c>
      <c r="D179" s="37"/>
      <c r="E179" s="38">
        <f>E180+E183</f>
        <v>241.2</v>
      </c>
      <c r="F179" s="38"/>
      <c r="G179" s="38">
        <f>G180+G183</f>
        <v>79.1</v>
      </c>
      <c r="H179" s="38"/>
      <c r="I179" s="117"/>
    </row>
    <row r="180" spans="1:9" s="1" customFormat="1" ht="22.5" customHeight="1">
      <c r="A180" s="56" t="s">
        <v>160</v>
      </c>
      <c r="B180" s="37" t="s">
        <v>67</v>
      </c>
      <c r="C180" s="37" t="s">
        <v>540</v>
      </c>
      <c r="D180" s="37"/>
      <c r="E180" s="38">
        <f>E181</f>
        <v>201</v>
      </c>
      <c r="F180" s="38"/>
      <c r="G180" s="38">
        <f>G181</f>
        <v>61</v>
      </c>
      <c r="H180" s="38"/>
      <c r="I180" s="117"/>
    </row>
    <row r="181" spans="1:9" s="1" customFormat="1" ht="71.25" customHeight="1">
      <c r="A181" s="40" t="s">
        <v>344</v>
      </c>
      <c r="B181" s="37" t="s">
        <v>67</v>
      </c>
      <c r="C181" s="37" t="s">
        <v>540</v>
      </c>
      <c r="D181" s="37" t="s">
        <v>180</v>
      </c>
      <c r="E181" s="38">
        <f>E182</f>
        <v>201</v>
      </c>
      <c r="F181" s="38"/>
      <c r="G181" s="38">
        <f>G182</f>
        <v>61</v>
      </c>
      <c r="H181" s="38"/>
      <c r="I181" s="117"/>
    </row>
    <row r="182" spans="1:9" s="1" customFormat="1" ht="22.5" customHeight="1">
      <c r="A182" s="40" t="s">
        <v>173</v>
      </c>
      <c r="B182" s="37" t="s">
        <v>67</v>
      </c>
      <c r="C182" s="37" t="s">
        <v>540</v>
      </c>
      <c r="D182" s="37" t="s">
        <v>172</v>
      </c>
      <c r="E182" s="38">
        <v>201</v>
      </c>
      <c r="F182" s="38"/>
      <c r="G182" s="38">
        <v>61</v>
      </c>
      <c r="H182" s="38"/>
      <c r="I182" s="117"/>
    </row>
    <row r="183" spans="1:9" s="1" customFormat="1" ht="32.25" customHeight="1">
      <c r="A183" s="56" t="s">
        <v>71</v>
      </c>
      <c r="B183" s="37" t="s">
        <v>67</v>
      </c>
      <c r="C183" s="37" t="s">
        <v>540</v>
      </c>
      <c r="D183" s="37"/>
      <c r="E183" s="38">
        <f>E184</f>
        <v>40.2</v>
      </c>
      <c r="F183" s="38"/>
      <c r="G183" s="38">
        <f>G184</f>
        <v>18.1</v>
      </c>
      <c r="H183" s="38"/>
      <c r="I183" s="117"/>
    </row>
    <row r="184" spans="1:9" s="1" customFormat="1" ht="22.5" customHeight="1">
      <c r="A184" s="56" t="s">
        <v>175</v>
      </c>
      <c r="B184" s="37" t="s">
        <v>67</v>
      </c>
      <c r="C184" s="37" t="s">
        <v>540</v>
      </c>
      <c r="D184" s="37" t="s">
        <v>174</v>
      </c>
      <c r="E184" s="38">
        <f>E185</f>
        <v>40.2</v>
      </c>
      <c r="F184" s="38"/>
      <c r="G184" s="38">
        <f>G185</f>
        <v>18.1</v>
      </c>
      <c r="H184" s="38"/>
      <c r="I184" s="117"/>
    </row>
    <row r="185" spans="1:9" s="1" customFormat="1" ht="39.75" customHeight="1">
      <c r="A185" s="56" t="s">
        <v>177</v>
      </c>
      <c r="B185" s="37" t="s">
        <v>67</v>
      </c>
      <c r="C185" s="37" t="s">
        <v>540</v>
      </c>
      <c r="D185" s="37" t="s">
        <v>176</v>
      </c>
      <c r="E185" s="38">
        <v>40.2</v>
      </c>
      <c r="F185" s="38"/>
      <c r="G185" s="38">
        <v>18.1</v>
      </c>
      <c r="H185" s="38"/>
      <c r="I185" s="117"/>
    </row>
    <row r="186" spans="1:9" s="1" customFormat="1" ht="82.5" customHeight="1">
      <c r="A186" s="56" t="s">
        <v>541</v>
      </c>
      <c r="B186" s="37" t="s">
        <v>67</v>
      </c>
      <c r="C186" s="37" t="s">
        <v>542</v>
      </c>
      <c r="D186" s="37"/>
      <c r="E186" s="38">
        <f>E187+E190</f>
        <v>208.9</v>
      </c>
      <c r="F186" s="38"/>
      <c r="G186" s="38">
        <f>G187+G190</f>
        <v>100.3</v>
      </c>
      <c r="H186" s="38"/>
      <c r="I186" s="117"/>
    </row>
    <row r="187" spans="1:9" s="1" customFormat="1" ht="22.5" customHeight="1">
      <c r="A187" s="56" t="s">
        <v>160</v>
      </c>
      <c r="B187" s="37" t="s">
        <v>67</v>
      </c>
      <c r="C187" s="37" t="s">
        <v>542</v>
      </c>
      <c r="D187" s="37"/>
      <c r="E187" s="38">
        <f>E188</f>
        <v>133.9</v>
      </c>
      <c r="F187" s="38"/>
      <c r="G187" s="38">
        <f>G188</f>
        <v>65.3</v>
      </c>
      <c r="H187" s="38"/>
      <c r="I187" s="117"/>
    </row>
    <row r="188" spans="1:9" s="1" customFormat="1" ht="68.25" customHeight="1">
      <c r="A188" s="40" t="s">
        <v>344</v>
      </c>
      <c r="B188" s="37" t="s">
        <v>67</v>
      </c>
      <c r="C188" s="37" t="s">
        <v>542</v>
      </c>
      <c r="D188" s="37" t="s">
        <v>180</v>
      </c>
      <c r="E188" s="38">
        <f>E189</f>
        <v>133.9</v>
      </c>
      <c r="F188" s="38"/>
      <c r="G188" s="38">
        <f>G189</f>
        <v>65.3</v>
      </c>
      <c r="H188" s="38"/>
      <c r="I188" s="117"/>
    </row>
    <row r="189" spans="1:9" s="1" customFormat="1" ht="22.5" customHeight="1">
      <c r="A189" s="40" t="s">
        <v>173</v>
      </c>
      <c r="B189" s="37" t="s">
        <v>67</v>
      </c>
      <c r="C189" s="37" t="s">
        <v>542</v>
      </c>
      <c r="D189" s="37" t="s">
        <v>172</v>
      </c>
      <c r="E189" s="38">
        <v>133.9</v>
      </c>
      <c r="F189" s="38"/>
      <c r="G189" s="38">
        <v>65.3</v>
      </c>
      <c r="H189" s="38"/>
      <c r="I189" s="117"/>
    </row>
    <row r="190" spans="1:9" s="1" customFormat="1" ht="35.25" customHeight="1">
      <c r="A190" s="56" t="s">
        <v>71</v>
      </c>
      <c r="B190" s="37" t="s">
        <v>67</v>
      </c>
      <c r="C190" s="37" t="s">
        <v>542</v>
      </c>
      <c r="D190" s="37"/>
      <c r="E190" s="38">
        <f>E191</f>
        <v>75</v>
      </c>
      <c r="F190" s="38"/>
      <c r="G190" s="38">
        <f>G191</f>
        <v>35</v>
      </c>
      <c r="H190" s="38"/>
      <c r="I190" s="117"/>
    </row>
    <row r="191" spans="1:9" s="1" customFormat="1" ht="22.5" customHeight="1">
      <c r="A191" s="56" t="s">
        <v>175</v>
      </c>
      <c r="B191" s="37" t="s">
        <v>67</v>
      </c>
      <c r="C191" s="37" t="s">
        <v>542</v>
      </c>
      <c r="D191" s="37" t="s">
        <v>174</v>
      </c>
      <c r="E191" s="38">
        <f>E192</f>
        <v>75</v>
      </c>
      <c r="F191" s="38"/>
      <c r="G191" s="38">
        <f>G192</f>
        <v>35</v>
      </c>
      <c r="H191" s="38"/>
      <c r="I191" s="117"/>
    </row>
    <row r="192" spans="1:9" s="1" customFormat="1" ht="39" customHeight="1">
      <c r="A192" s="56" t="s">
        <v>177</v>
      </c>
      <c r="B192" s="37" t="s">
        <v>67</v>
      </c>
      <c r="C192" s="37" t="s">
        <v>542</v>
      </c>
      <c r="D192" s="37" t="s">
        <v>176</v>
      </c>
      <c r="E192" s="38">
        <v>75</v>
      </c>
      <c r="F192" s="38"/>
      <c r="G192" s="38">
        <v>35</v>
      </c>
      <c r="H192" s="38"/>
      <c r="I192" s="117"/>
    </row>
    <row r="193" spans="1:9" s="1" customFormat="1" ht="76.5" customHeight="1">
      <c r="A193" s="56" t="s">
        <v>543</v>
      </c>
      <c r="B193" s="37" t="s">
        <v>67</v>
      </c>
      <c r="C193" s="37" t="s">
        <v>544</v>
      </c>
      <c r="D193" s="37"/>
      <c r="E193" s="38">
        <f>E194+E197</f>
        <v>406.09999999999997</v>
      </c>
      <c r="F193" s="38"/>
      <c r="G193" s="38">
        <f>G194+G197</f>
        <v>134.5</v>
      </c>
      <c r="H193" s="38"/>
      <c r="I193" s="117"/>
    </row>
    <row r="194" spans="1:9" s="1" customFormat="1" ht="22.5" customHeight="1">
      <c r="A194" s="56" t="s">
        <v>160</v>
      </c>
      <c r="B194" s="37" t="s">
        <v>67</v>
      </c>
      <c r="C194" s="37" t="s">
        <v>544</v>
      </c>
      <c r="D194" s="37"/>
      <c r="E194" s="38">
        <f>E195</f>
        <v>312.4</v>
      </c>
      <c r="F194" s="38"/>
      <c r="G194" s="38">
        <f>G195</f>
        <v>110.8</v>
      </c>
      <c r="H194" s="38"/>
      <c r="I194" s="117"/>
    </row>
    <row r="195" spans="1:9" s="1" customFormat="1" ht="68.25" customHeight="1">
      <c r="A195" s="40" t="s">
        <v>344</v>
      </c>
      <c r="B195" s="37" t="s">
        <v>67</v>
      </c>
      <c r="C195" s="37" t="s">
        <v>544</v>
      </c>
      <c r="D195" s="37" t="s">
        <v>180</v>
      </c>
      <c r="E195" s="38">
        <f>E196</f>
        <v>312.4</v>
      </c>
      <c r="F195" s="38"/>
      <c r="G195" s="38">
        <f>G196</f>
        <v>110.8</v>
      </c>
      <c r="H195" s="38"/>
      <c r="I195" s="117"/>
    </row>
    <row r="196" spans="1:9" s="1" customFormat="1" ht="22.5" customHeight="1">
      <c r="A196" s="40" t="s">
        <v>173</v>
      </c>
      <c r="B196" s="37" t="s">
        <v>67</v>
      </c>
      <c r="C196" s="37" t="s">
        <v>544</v>
      </c>
      <c r="D196" s="37" t="s">
        <v>172</v>
      </c>
      <c r="E196" s="38">
        <v>312.4</v>
      </c>
      <c r="F196" s="38"/>
      <c r="G196" s="38">
        <v>110.8</v>
      </c>
      <c r="H196" s="38"/>
      <c r="I196" s="117"/>
    </row>
    <row r="197" spans="1:9" s="1" customFormat="1" ht="37.5" customHeight="1">
      <c r="A197" s="56" t="s">
        <v>71</v>
      </c>
      <c r="B197" s="37" t="s">
        <v>67</v>
      </c>
      <c r="C197" s="37" t="s">
        <v>544</v>
      </c>
      <c r="D197" s="37"/>
      <c r="E197" s="38">
        <f>E198</f>
        <v>93.7</v>
      </c>
      <c r="F197" s="38"/>
      <c r="G197" s="38">
        <f>G198</f>
        <v>23.7</v>
      </c>
      <c r="H197" s="38"/>
      <c r="I197" s="117"/>
    </row>
    <row r="198" spans="1:9" s="1" customFormat="1" ht="22.5" customHeight="1">
      <c r="A198" s="56" t="s">
        <v>175</v>
      </c>
      <c r="B198" s="37" t="s">
        <v>67</v>
      </c>
      <c r="C198" s="37" t="s">
        <v>544</v>
      </c>
      <c r="D198" s="37" t="s">
        <v>174</v>
      </c>
      <c r="E198" s="38">
        <f>E199</f>
        <v>93.7</v>
      </c>
      <c r="F198" s="38"/>
      <c r="G198" s="38">
        <f>G199</f>
        <v>23.7</v>
      </c>
      <c r="H198" s="38"/>
      <c r="I198" s="117"/>
    </row>
    <row r="199" spans="1:9" s="1" customFormat="1" ht="37.5" customHeight="1">
      <c r="A199" s="56" t="s">
        <v>177</v>
      </c>
      <c r="B199" s="37" t="s">
        <v>67</v>
      </c>
      <c r="C199" s="37" t="s">
        <v>544</v>
      </c>
      <c r="D199" s="37" t="s">
        <v>176</v>
      </c>
      <c r="E199" s="38">
        <v>93.7</v>
      </c>
      <c r="F199" s="38"/>
      <c r="G199" s="38">
        <v>23.7</v>
      </c>
      <c r="H199" s="38"/>
      <c r="I199" s="117"/>
    </row>
    <row r="200" spans="1:9" s="1" customFormat="1" ht="16.5" customHeight="1">
      <c r="A200" s="47" t="s">
        <v>109</v>
      </c>
      <c r="B200" s="61" t="s">
        <v>148</v>
      </c>
      <c r="C200" s="61"/>
      <c r="D200" s="61"/>
      <c r="E200" s="11">
        <f>E201</f>
        <v>8948.9</v>
      </c>
      <c r="F200" s="38"/>
      <c r="G200" s="11">
        <f>G201</f>
        <v>0</v>
      </c>
      <c r="H200" s="38"/>
      <c r="I200" s="117"/>
    </row>
    <row r="201" spans="1:9" s="1" customFormat="1" ht="17.25" customHeight="1">
      <c r="A201" s="39" t="s">
        <v>61</v>
      </c>
      <c r="B201" s="37" t="s">
        <v>148</v>
      </c>
      <c r="C201" s="45" t="s">
        <v>36</v>
      </c>
      <c r="D201" s="37"/>
      <c r="E201" s="38">
        <f>E202</f>
        <v>8948.9</v>
      </c>
      <c r="F201" s="38"/>
      <c r="G201" s="38">
        <f>G202</f>
        <v>0</v>
      </c>
      <c r="H201" s="38"/>
      <c r="I201" s="117"/>
    </row>
    <row r="202" spans="1:9" s="1" customFormat="1" ht="17.25" customHeight="1">
      <c r="A202" s="44" t="s">
        <v>179</v>
      </c>
      <c r="B202" s="37" t="s">
        <v>148</v>
      </c>
      <c r="C202" s="45" t="str">
        <f>$C$201</f>
        <v>99 0 00 05000</v>
      </c>
      <c r="D202" s="37" t="s">
        <v>178</v>
      </c>
      <c r="E202" s="38">
        <f>E203</f>
        <v>8948.9</v>
      </c>
      <c r="F202" s="38"/>
      <c r="G202" s="38">
        <f>G203</f>
        <v>0</v>
      </c>
      <c r="H202" s="38"/>
      <c r="I202" s="117"/>
    </row>
    <row r="203" spans="1:9" s="1" customFormat="1" ht="19.5" customHeight="1">
      <c r="A203" s="39" t="s">
        <v>59</v>
      </c>
      <c r="B203" s="37" t="s">
        <v>148</v>
      </c>
      <c r="C203" s="45" t="str">
        <f>$C$201</f>
        <v>99 0 00 05000</v>
      </c>
      <c r="D203" s="37" t="s">
        <v>58</v>
      </c>
      <c r="E203" s="38">
        <f>5000+5000-841.1-210</f>
        <v>8948.9</v>
      </c>
      <c r="F203" s="38"/>
      <c r="G203" s="38">
        <v>0</v>
      </c>
      <c r="H203" s="38"/>
      <c r="I203" s="117"/>
    </row>
    <row r="204" spans="1:9" s="1" customFormat="1" ht="21" customHeight="1">
      <c r="A204" s="47" t="s">
        <v>137</v>
      </c>
      <c r="B204" s="61" t="s">
        <v>80</v>
      </c>
      <c r="C204" s="61"/>
      <c r="D204" s="61"/>
      <c r="E204" s="11">
        <f>E301+E216+E316+E205+E212</f>
        <v>186582.5</v>
      </c>
      <c r="F204" s="11">
        <f>F301+F216+F316+F205+F212</f>
        <v>39108</v>
      </c>
      <c r="G204" s="11">
        <f>G301+G216+G316+G205+G212</f>
        <v>88031.9</v>
      </c>
      <c r="H204" s="11">
        <f>H301+H216+H316+H205+H212</f>
        <v>23291.300000000003</v>
      </c>
      <c r="I204" s="117"/>
    </row>
    <row r="205" spans="1:9" s="1" customFormat="1" ht="49.5" customHeight="1">
      <c r="A205" s="50" t="s">
        <v>276</v>
      </c>
      <c r="B205" s="45" t="s">
        <v>80</v>
      </c>
      <c r="C205" s="46" t="s">
        <v>138</v>
      </c>
      <c r="D205" s="67"/>
      <c r="E205" s="48">
        <f aca="true" t="shared" si="1" ref="E205:H206">E206</f>
        <v>8018</v>
      </c>
      <c r="F205" s="48">
        <f t="shared" si="1"/>
        <v>8018</v>
      </c>
      <c r="G205" s="48">
        <f t="shared" si="1"/>
        <v>3426.4</v>
      </c>
      <c r="H205" s="48">
        <f t="shared" si="1"/>
        <v>3426.4</v>
      </c>
      <c r="I205" s="117"/>
    </row>
    <row r="206" spans="1:9" s="1" customFormat="1" ht="27" customHeight="1">
      <c r="A206" s="34" t="s">
        <v>416</v>
      </c>
      <c r="B206" s="45" t="s">
        <v>80</v>
      </c>
      <c r="C206" s="46" t="s">
        <v>34</v>
      </c>
      <c r="D206" s="67"/>
      <c r="E206" s="48">
        <f t="shared" si="1"/>
        <v>8018</v>
      </c>
      <c r="F206" s="48">
        <f t="shared" si="1"/>
        <v>8018</v>
      </c>
      <c r="G206" s="48">
        <f t="shared" si="1"/>
        <v>3426.4</v>
      </c>
      <c r="H206" s="48">
        <f t="shared" si="1"/>
        <v>3426.4</v>
      </c>
      <c r="I206" s="117"/>
    </row>
    <row r="207" spans="1:9" s="1" customFormat="1" ht="64.5" customHeight="1">
      <c r="A207" s="34" t="s">
        <v>429</v>
      </c>
      <c r="B207" s="45" t="s">
        <v>80</v>
      </c>
      <c r="C207" s="45" t="s">
        <v>457</v>
      </c>
      <c r="D207" s="45"/>
      <c r="E207" s="48">
        <f>E208+E210</f>
        <v>8018</v>
      </c>
      <c r="F207" s="48">
        <f>F208+F210</f>
        <v>8018</v>
      </c>
      <c r="G207" s="48">
        <f>G208+G210</f>
        <v>3426.4</v>
      </c>
      <c r="H207" s="48">
        <f>H208+H210</f>
        <v>3426.4</v>
      </c>
      <c r="I207" s="117"/>
    </row>
    <row r="208" spans="1:9" s="1" customFormat="1" ht="60" customHeight="1">
      <c r="A208" s="44" t="s">
        <v>344</v>
      </c>
      <c r="B208" s="45" t="s">
        <v>80</v>
      </c>
      <c r="C208" s="45" t="s">
        <v>457</v>
      </c>
      <c r="D208" s="45" t="s">
        <v>180</v>
      </c>
      <c r="E208" s="48">
        <f>E209</f>
        <v>7878.8</v>
      </c>
      <c r="F208" s="48">
        <f>F209</f>
        <v>7878.8</v>
      </c>
      <c r="G208" s="48">
        <f>G209</f>
        <v>3424.1</v>
      </c>
      <c r="H208" s="48">
        <f>H209</f>
        <v>3424.1</v>
      </c>
      <c r="I208" s="117"/>
    </row>
    <row r="209" spans="1:9" s="1" customFormat="1" ht="21" customHeight="1">
      <c r="A209" s="44" t="s">
        <v>173</v>
      </c>
      <c r="B209" s="45" t="s">
        <v>80</v>
      </c>
      <c r="C209" s="45" t="s">
        <v>457</v>
      </c>
      <c r="D209" s="45" t="s">
        <v>172</v>
      </c>
      <c r="E209" s="48">
        <v>7878.8</v>
      </c>
      <c r="F209" s="48">
        <f>E209</f>
        <v>7878.8</v>
      </c>
      <c r="G209" s="48">
        <v>3424.1</v>
      </c>
      <c r="H209" s="48">
        <f>G209</f>
        <v>3424.1</v>
      </c>
      <c r="I209" s="117"/>
    </row>
    <row r="210" spans="1:9" s="1" customFormat="1" ht="21" customHeight="1">
      <c r="A210" s="44" t="s">
        <v>175</v>
      </c>
      <c r="B210" s="45" t="s">
        <v>80</v>
      </c>
      <c r="C210" s="45" t="s">
        <v>457</v>
      </c>
      <c r="D210" s="45" t="s">
        <v>174</v>
      </c>
      <c r="E210" s="48">
        <f>E211</f>
        <v>139.2</v>
      </c>
      <c r="F210" s="48">
        <f>F211</f>
        <v>139.2</v>
      </c>
      <c r="G210" s="48">
        <f>G211</f>
        <v>2.3</v>
      </c>
      <c r="H210" s="48">
        <f>H211</f>
        <v>2.3</v>
      </c>
      <c r="I210" s="117"/>
    </row>
    <row r="211" spans="1:9" s="1" customFormat="1" ht="35.25" customHeight="1">
      <c r="A211" s="44" t="s">
        <v>177</v>
      </c>
      <c r="B211" s="45" t="s">
        <v>80</v>
      </c>
      <c r="C211" s="45" t="s">
        <v>457</v>
      </c>
      <c r="D211" s="45" t="s">
        <v>176</v>
      </c>
      <c r="E211" s="48">
        <v>139.2</v>
      </c>
      <c r="F211" s="48">
        <f>E211</f>
        <v>139.2</v>
      </c>
      <c r="G211" s="48">
        <v>2.3</v>
      </c>
      <c r="H211" s="48">
        <f>G211</f>
        <v>2.3</v>
      </c>
      <c r="I211" s="117"/>
    </row>
    <row r="212" spans="1:9" s="1" customFormat="1" ht="77.25" customHeight="1">
      <c r="A212" s="34" t="s">
        <v>279</v>
      </c>
      <c r="B212" s="45" t="s">
        <v>80</v>
      </c>
      <c r="C212" s="46" t="s">
        <v>37</v>
      </c>
      <c r="D212" s="46"/>
      <c r="E212" s="51">
        <f aca="true" t="shared" si="2" ref="E212:H214">E213</f>
        <v>715</v>
      </c>
      <c r="F212" s="51">
        <f t="shared" si="2"/>
        <v>715</v>
      </c>
      <c r="G212" s="51">
        <f t="shared" si="2"/>
        <v>163.4</v>
      </c>
      <c r="H212" s="51">
        <f t="shared" si="2"/>
        <v>163.4</v>
      </c>
      <c r="I212" s="117"/>
    </row>
    <row r="213" spans="1:9" s="1" customFormat="1" ht="64.5" customHeight="1">
      <c r="A213" s="44" t="s">
        <v>263</v>
      </c>
      <c r="B213" s="45" t="s">
        <v>80</v>
      </c>
      <c r="C213" s="46" t="s">
        <v>508</v>
      </c>
      <c r="D213" s="46"/>
      <c r="E213" s="51">
        <f t="shared" si="2"/>
        <v>715</v>
      </c>
      <c r="F213" s="51">
        <f t="shared" si="2"/>
        <v>715</v>
      </c>
      <c r="G213" s="51">
        <f t="shared" si="2"/>
        <v>163.4</v>
      </c>
      <c r="H213" s="51">
        <f t="shared" si="2"/>
        <v>163.4</v>
      </c>
      <c r="I213" s="117"/>
    </row>
    <row r="214" spans="1:9" s="1" customFormat="1" ht="62.25" customHeight="1">
      <c r="A214" s="44" t="s">
        <v>344</v>
      </c>
      <c r="B214" s="45" t="s">
        <v>80</v>
      </c>
      <c r="C214" s="46" t="s">
        <v>508</v>
      </c>
      <c r="D214" s="46" t="s">
        <v>180</v>
      </c>
      <c r="E214" s="51">
        <f t="shared" si="2"/>
        <v>715</v>
      </c>
      <c r="F214" s="51">
        <f t="shared" si="2"/>
        <v>715</v>
      </c>
      <c r="G214" s="51">
        <f t="shared" si="2"/>
        <v>163.4</v>
      </c>
      <c r="H214" s="51">
        <f t="shared" si="2"/>
        <v>163.4</v>
      </c>
      <c r="I214" s="117"/>
    </row>
    <row r="215" spans="1:9" s="1" customFormat="1" ht="27.75" customHeight="1">
      <c r="A215" s="56" t="s">
        <v>173</v>
      </c>
      <c r="B215" s="45" t="s">
        <v>80</v>
      </c>
      <c r="C215" s="46" t="s">
        <v>508</v>
      </c>
      <c r="D215" s="46" t="s">
        <v>172</v>
      </c>
      <c r="E215" s="51">
        <v>715</v>
      </c>
      <c r="F215" s="51">
        <v>715</v>
      </c>
      <c r="G215" s="51">
        <v>163.4</v>
      </c>
      <c r="H215" s="51">
        <f>G215</f>
        <v>163.4</v>
      </c>
      <c r="I215" s="117"/>
    </row>
    <row r="216" spans="1:9" s="1" customFormat="1" ht="22.5" customHeight="1">
      <c r="A216" s="34" t="s">
        <v>251</v>
      </c>
      <c r="B216" s="37" t="s">
        <v>80</v>
      </c>
      <c r="C216" s="36" t="s">
        <v>21</v>
      </c>
      <c r="D216" s="37"/>
      <c r="E216" s="38">
        <f>E230+E217</f>
        <v>78523</v>
      </c>
      <c r="F216" s="38">
        <f>F230+F217</f>
        <v>20296</v>
      </c>
      <c r="G216" s="38">
        <f>G230+G217</f>
        <v>34622.9</v>
      </c>
      <c r="H216" s="38">
        <f>H230+H217</f>
        <v>10766.5</v>
      </c>
      <c r="I216" s="117"/>
    </row>
    <row r="217" spans="1:9" s="1" customFormat="1" ht="50.25" customHeight="1">
      <c r="A217" s="34" t="s">
        <v>324</v>
      </c>
      <c r="B217" s="37" t="s">
        <v>80</v>
      </c>
      <c r="C217" s="45" t="s">
        <v>205</v>
      </c>
      <c r="D217" s="45"/>
      <c r="E217" s="48">
        <f>E218+E223</f>
        <v>8070.4</v>
      </c>
      <c r="F217" s="48">
        <f aca="true" t="shared" si="3" ref="E217:H219">F218</f>
        <v>5560</v>
      </c>
      <c r="G217" s="48">
        <f>G218+G223</f>
        <v>3349.9</v>
      </c>
      <c r="H217" s="48">
        <f t="shared" si="3"/>
        <v>2656.4</v>
      </c>
      <c r="I217" s="117"/>
    </row>
    <row r="218" spans="1:9" s="1" customFormat="1" ht="44.25" customHeight="1">
      <c r="A218" s="34" t="s">
        <v>290</v>
      </c>
      <c r="B218" s="37" t="s">
        <v>80</v>
      </c>
      <c r="C218" s="45" t="s">
        <v>458</v>
      </c>
      <c r="D218" s="45"/>
      <c r="E218" s="48">
        <f>E219+E221</f>
        <v>5560</v>
      </c>
      <c r="F218" s="48">
        <f>F219+F221</f>
        <v>5560</v>
      </c>
      <c r="G218" s="48">
        <f>G219+G221</f>
        <v>2656.4</v>
      </c>
      <c r="H218" s="48">
        <f>H219+H221</f>
        <v>2656.4</v>
      </c>
      <c r="I218" s="117"/>
    </row>
    <row r="219" spans="1:9" s="1" customFormat="1" ht="60.75" customHeight="1">
      <c r="A219" s="44" t="s">
        <v>344</v>
      </c>
      <c r="B219" s="37" t="s">
        <v>80</v>
      </c>
      <c r="C219" s="45" t="s">
        <v>458</v>
      </c>
      <c r="D219" s="45" t="s">
        <v>180</v>
      </c>
      <c r="E219" s="48">
        <f t="shared" si="3"/>
        <v>5514.6</v>
      </c>
      <c r="F219" s="48">
        <f t="shared" si="3"/>
        <v>5514.6</v>
      </c>
      <c r="G219" s="48">
        <f t="shared" si="3"/>
        <v>2656.4</v>
      </c>
      <c r="H219" s="48">
        <f t="shared" si="3"/>
        <v>2656.4</v>
      </c>
      <c r="I219" s="117"/>
    </row>
    <row r="220" spans="1:9" s="1" customFormat="1" ht="22.5" customHeight="1">
      <c r="A220" s="44" t="s">
        <v>173</v>
      </c>
      <c r="B220" s="37" t="s">
        <v>80</v>
      </c>
      <c r="C220" s="45" t="s">
        <v>458</v>
      </c>
      <c r="D220" s="45" t="s">
        <v>172</v>
      </c>
      <c r="E220" s="48">
        <v>5514.6</v>
      </c>
      <c r="F220" s="48">
        <f>E220</f>
        <v>5514.6</v>
      </c>
      <c r="G220" s="48">
        <v>2656.4</v>
      </c>
      <c r="H220" s="48">
        <f>G220</f>
        <v>2656.4</v>
      </c>
      <c r="I220" s="117"/>
    </row>
    <row r="221" spans="1:9" s="1" customFormat="1" ht="22.5" customHeight="1">
      <c r="A221" s="44" t="s">
        <v>175</v>
      </c>
      <c r="B221" s="37" t="s">
        <v>80</v>
      </c>
      <c r="C221" s="45" t="s">
        <v>458</v>
      </c>
      <c r="D221" s="45" t="s">
        <v>174</v>
      </c>
      <c r="E221" s="48">
        <f>E222</f>
        <v>45.4</v>
      </c>
      <c r="F221" s="48">
        <f>F222</f>
        <v>45.4</v>
      </c>
      <c r="G221" s="48">
        <f>G222</f>
        <v>0</v>
      </c>
      <c r="H221" s="48">
        <f>H222</f>
        <v>0</v>
      </c>
      <c r="I221" s="117"/>
    </row>
    <row r="222" spans="1:9" s="1" customFormat="1" ht="30" customHeight="1">
      <c r="A222" s="44" t="s">
        <v>177</v>
      </c>
      <c r="B222" s="37" t="s">
        <v>80</v>
      </c>
      <c r="C222" s="45" t="s">
        <v>458</v>
      </c>
      <c r="D222" s="45" t="s">
        <v>176</v>
      </c>
      <c r="E222" s="48">
        <v>45.4</v>
      </c>
      <c r="F222" s="48">
        <f>E222</f>
        <v>45.4</v>
      </c>
      <c r="G222" s="48">
        <v>0</v>
      </c>
      <c r="H222" s="48">
        <f>G222</f>
        <v>0</v>
      </c>
      <c r="I222" s="117"/>
    </row>
    <row r="223" spans="1:9" s="1" customFormat="1" ht="47.25" customHeight="1">
      <c r="A223" s="34" t="s">
        <v>324</v>
      </c>
      <c r="B223" s="45" t="s">
        <v>80</v>
      </c>
      <c r="C223" s="45" t="s">
        <v>205</v>
      </c>
      <c r="D223" s="45"/>
      <c r="E223" s="48">
        <f>E224</f>
        <v>2510.4</v>
      </c>
      <c r="F223" s="48">
        <f>F224</f>
        <v>0</v>
      </c>
      <c r="G223" s="48">
        <f>G224</f>
        <v>693.5</v>
      </c>
      <c r="H223" s="48">
        <f>H224</f>
        <v>0</v>
      </c>
      <c r="I223" s="117"/>
    </row>
    <row r="224" spans="1:9" s="1" customFormat="1" ht="22.5" customHeight="1">
      <c r="A224" s="58" t="s">
        <v>119</v>
      </c>
      <c r="B224" s="45" t="s">
        <v>80</v>
      </c>
      <c r="C224" s="45" t="s">
        <v>216</v>
      </c>
      <c r="D224" s="45"/>
      <c r="E224" s="48">
        <f>E225+E227</f>
        <v>2510.4</v>
      </c>
      <c r="F224" s="48">
        <f>F225+F227</f>
        <v>0</v>
      </c>
      <c r="G224" s="48">
        <f>G225+G227</f>
        <v>693.5</v>
      </c>
      <c r="H224" s="48">
        <f>H225+H227</f>
        <v>0</v>
      </c>
      <c r="I224" s="117"/>
    </row>
    <row r="225" spans="1:9" s="1" customFormat="1" ht="63.75" customHeight="1">
      <c r="A225" s="44" t="s">
        <v>344</v>
      </c>
      <c r="B225" s="45" t="s">
        <v>80</v>
      </c>
      <c r="C225" s="45" t="s">
        <v>267</v>
      </c>
      <c r="D225" s="45" t="s">
        <v>180</v>
      </c>
      <c r="E225" s="48">
        <f>E226</f>
        <v>580.4</v>
      </c>
      <c r="F225" s="48"/>
      <c r="G225" s="48">
        <f>G226</f>
        <v>278.5</v>
      </c>
      <c r="H225" s="48"/>
      <c r="I225" s="117"/>
    </row>
    <row r="226" spans="1:9" s="1" customFormat="1" ht="21.75" customHeight="1">
      <c r="A226" s="44" t="s">
        <v>173</v>
      </c>
      <c r="B226" s="45" t="s">
        <v>80</v>
      </c>
      <c r="C226" s="45" t="s">
        <v>267</v>
      </c>
      <c r="D226" s="45" t="s">
        <v>172</v>
      </c>
      <c r="E226" s="48">
        <v>580.4</v>
      </c>
      <c r="F226" s="48"/>
      <c r="G226" s="48">
        <v>278.5</v>
      </c>
      <c r="H226" s="48"/>
      <c r="I226" s="117"/>
    </row>
    <row r="227" spans="1:9" s="1" customFormat="1" ht="30" customHeight="1">
      <c r="A227" s="44" t="s">
        <v>71</v>
      </c>
      <c r="B227" s="45" t="s">
        <v>80</v>
      </c>
      <c r="C227" s="45" t="s">
        <v>217</v>
      </c>
      <c r="D227" s="45"/>
      <c r="E227" s="48">
        <f>E228</f>
        <v>1930</v>
      </c>
      <c r="F227" s="48"/>
      <c r="G227" s="48">
        <f>G228</f>
        <v>415</v>
      </c>
      <c r="H227" s="48"/>
      <c r="I227" s="117"/>
    </row>
    <row r="228" spans="1:9" s="1" customFormat="1" ht="22.5" customHeight="1">
      <c r="A228" s="44" t="s">
        <v>175</v>
      </c>
      <c r="B228" s="45" t="s">
        <v>80</v>
      </c>
      <c r="C228" s="45" t="s">
        <v>217</v>
      </c>
      <c r="D228" s="45" t="s">
        <v>174</v>
      </c>
      <c r="E228" s="48">
        <f>E229</f>
        <v>1930</v>
      </c>
      <c r="F228" s="48"/>
      <c r="G228" s="48">
        <f>G229</f>
        <v>415</v>
      </c>
      <c r="H228" s="48"/>
      <c r="I228" s="117"/>
    </row>
    <row r="229" spans="1:9" s="1" customFormat="1" ht="30" customHeight="1">
      <c r="A229" s="44" t="s">
        <v>177</v>
      </c>
      <c r="B229" s="45" t="s">
        <v>80</v>
      </c>
      <c r="C229" s="45" t="s">
        <v>217</v>
      </c>
      <c r="D229" s="45" t="s">
        <v>176</v>
      </c>
      <c r="E229" s="48">
        <v>1930</v>
      </c>
      <c r="F229" s="48"/>
      <c r="G229" s="48">
        <v>415</v>
      </c>
      <c r="H229" s="48"/>
      <c r="I229" s="117"/>
    </row>
    <row r="230" spans="1:9" s="1" customFormat="1" ht="21" customHeight="1">
      <c r="A230" s="39" t="s">
        <v>42</v>
      </c>
      <c r="B230" s="37" t="s">
        <v>80</v>
      </c>
      <c r="C230" s="37" t="s">
        <v>22</v>
      </c>
      <c r="D230" s="37"/>
      <c r="E230" s="38">
        <f>E245+E242+E239+E236+E231</f>
        <v>70452.6</v>
      </c>
      <c r="F230" s="38">
        <f>F245+F242</f>
        <v>14736</v>
      </c>
      <c r="G230" s="38">
        <f>G245+G242+G239+G236+G231</f>
        <v>31273.000000000004</v>
      </c>
      <c r="H230" s="38">
        <f>H245+H242</f>
        <v>8110.1</v>
      </c>
      <c r="I230" s="117"/>
    </row>
    <row r="231" spans="1:9" s="1" customFormat="1" ht="33.75" customHeight="1">
      <c r="A231" s="44" t="s">
        <v>71</v>
      </c>
      <c r="B231" s="37" t="s">
        <v>80</v>
      </c>
      <c r="C231" s="37" t="s">
        <v>33</v>
      </c>
      <c r="D231" s="37"/>
      <c r="E231" s="38">
        <f>E232+E234</f>
        <v>512.8</v>
      </c>
      <c r="F231" s="38"/>
      <c r="G231" s="38">
        <f>G232+G234</f>
        <v>512.8</v>
      </c>
      <c r="H231" s="38"/>
      <c r="I231" s="117"/>
    </row>
    <row r="232" spans="1:9" s="1" customFormat="1" ht="22.5" customHeight="1">
      <c r="A232" s="44" t="s">
        <v>175</v>
      </c>
      <c r="B232" s="37" t="s">
        <v>80</v>
      </c>
      <c r="C232" s="37" t="s">
        <v>33</v>
      </c>
      <c r="D232" s="37" t="s">
        <v>174</v>
      </c>
      <c r="E232" s="38">
        <f>E233</f>
        <v>490</v>
      </c>
      <c r="F232" s="38"/>
      <c r="G232" s="38">
        <f>G233</f>
        <v>490</v>
      </c>
      <c r="H232" s="38"/>
      <c r="I232" s="117"/>
    </row>
    <row r="233" spans="1:9" s="1" customFormat="1" ht="34.5" customHeight="1">
      <c r="A233" s="44" t="s">
        <v>177</v>
      </c>
      <c r="B233" s="37" t="s">
        <v>80</v>
      </c>
      <c r="C233" s="37" t="s">
        <v>33</v>
      </c>
      <c r="D233" s="37" t="s">
        <v>176</v>
      </c>
      <c r="E233" s="38">
        <f>210+280</f>
        <v>490</v>
      </c>
      <c r="F233" s="38"/>
      <c r="G233" s="38">
        <v>490</v>
      </c>
      <c r="H233" s="38"/>
      <c r="I233" s="117"/>
    </row>
    <row r="234" spans="1:9" s="1" customFormat="1" ht="21" customHeight="1">
      <c r="A234" s="44" t="s">
        <v>179</v>
      </c>
      <c r="B234" s="37" t="s">
        <v>80</v>
      </c>
      <c r="C234" s="37" t="s">
        <v>33</v>
      </c>
      <c r="D234" s="37" t="s">
        <v>178</v>
      </c>
      <c r="E234" s="38">
        <f>E235</f>
        <v>22.8</v>
      </c>
      <c r="F234" s="38"/>
      <c r="G234" s="38">
        <f>G235</f>
        <v>22.8</v>
      </c>
      <c r="H234" s="38"/>
      <c r="I234" s="117"/>
    </row>
    <row r="235" spans="1:9" s="1" customFormat="1" ht="17.25" customHeight="1">
      <c r="A235" s="44" t="s">
        <v>348</v>
      </c>
      <c r="B235" s="37" t="s">
        <v>80</v>
      </c>
      <c r="C235" s="37" t="s">
        <v>33</v>
      </c>
      <c r="D235" s="37" t="s">
        <v>347</v>
      </c>
      <c r="E235" s="38">
        <v>22.8</v>
      </c>
      <c r="F235" s="38"/>
      <c r="G235" s="38">
        <v>22.8</v>
      </c>
      <c r="H235" s="38"/>
      <c r="I235" s="117"/>
    </row>
    <row r="236" spans="1:9" s="1" customFormat="1" ht="90.75" customHeight="1">
      <c r="A236" s="56" t="s">
        <v>634</v>
      </c>
      <c r="B236" s="45" t="s">
        <v>80</v>
      </c>
      <c r="C236" s="45" t="s">
        <v>635</v>
      </c>
      <c r="D236" s="45"/>
      <c r="E236" s="48">
        <f>E237</f>
        <v>1357.5</v>
      </c>
      <c r="F236" s="48">
        <f>F238</f>
        <v>0</v>
      </c>
      <c r="G236" s="48">
        <f>G237</f>
        <v>487.1</v>
      </c>
      <c r="H236" s="48">
        <f>H238</f>
        <v>0</v>
      </c>
      <c r="I236" s="117"/>
    </row>
    <row r="237" spans="1:9" s="1" customFormat="1" ht="17.25" customHeight="1">
      <c r="A237" s="44" t="s">
        <v>179</v>
      </c>
      <c r="B237" s="45" t="s">
        <v>80</v>
      </c>
      <c r="C237" s="45" t="s">
        <v>635</v>
      </c>
      <c r="D237" s="45" t="s">
        <v>178</v>
      </c>
      <c r="E237" s="48">
        <f>E238</f>
        <v>1357.5</v>
      </c>
      <c r="F237" s="48"/>
      <c r="G237" s="48">
        <f>G238</f>
        <v>487.1</v>
      </c>
      <c r="H237" s="48"/>
      <c r="I237" s="117"/>
    </row>
    <row r="238" spans="1:9" s="1" customFormat="1" ht="17.25" customHeight="1">
      <c r="A238" s="44" t="s">
        <v>357</v>
      </c>
      <c r="B238" s="45" t="s">
        <v>80</v>
      </c>
      <c r="C238" s="45" t="s">
        <v>635</v>
      </c>
      <c r="D238" s="45" t="s">
        <v>356</v>
      </c>
      <c r="E238" s="48">
        <f>58+37.5+218.9+127.9+44.8+825.6+44.8</f>
        <v>1357.5</v>
      </c>
      <c r="F238" s="48">
        <v>0</v>
      </c>
      <c r="G238" s="48">
        <v>487.1</v>
      </c>
      <c r="H238" s="48">
        <v>0</v>
      </c>
      <c r="I238" s="117"/>
    </row>
    <row r="239" spans="1:9" s="1" customFormat="1" ht="89.25" customHeight="1">
      <c r="A239" s="56" t="s">
        <v>589</v>
      </c>
      <c r="B239" s="45" t="s">
        <v>80</v>
      </c>
      <c r="C239" s="45" t="s">
        <v>590</v>
      </c>
      <c r="D239" s="45"/>
      <c r="E239" s="48">
        <f>E240</f>
        <v>140</v>
      </c>
      <c r="F239" s="48">
        <f>F241</f>
        <v>0</v>
      </c>
      <c r="G239" s="48">
        <f>G240</f>
        <v>50</v>
      </c>
      <c r="H239" s="48">
        <f>H241</f>
        <v>0</v>
      </c>
      <c r="I239" s="117"/>
    </row>
    <row r="240" spans="1:9" s="1" customFormat="1" ht="17.25" customHeight="1">
      <c r="A240" s="44" t="s">
        <v>179</v>
      </c>
      <c r="B240" s="45" t="s">
        <v>80</v>
      </c>
      <c r="C240" s="45" t="s">
        <v>590</v>
      </c>
      <c r="D240" s="45" t="s">
        <v>178</v>
      </c>
      <c r="E240" s="48">
        <f>E241</f>
        <v>140</v>
      </c>
      <c r="F240" s="48"/>
      <c r="G240" s="48">
        <f>G241</f>
        <v>50</v>
      </c>
      <c r="H240" s="48"/>
      <c r="I240" s="117"/>
    </row>
    <row r="241" spans="1:9" s="1" customFormat="1" ht="17.25" customHeight="1">
      <c r="A241" s="44" t="s">
        <v>357</v>
      </c>
      <c r="B241" s="45" t="s">
        <v>80</v>
      </c>
      <c r="C241" s="45" t="s">
        <v>590</v>
      </c>
      <c r="D241" s="45" t="s">
        <v>356</v>
      </c>
      <c r="E241" s="48">
        <f>50+45+45</f>
        <v>140</v>
      </c>
      <c r="F241" s="48">
        <v>0</v>
      </c>
      <c r="G241" s="48">
        <v>50</v>
      </c>
      <c r="H241" s="48">
        <v>0</v>
      </c>
      <c r="I241" s="117"/>
    </row>
    <row r="242" spans="1:9" s="1" customFormat="1" ht="33" customHeight="1">
      <c r="A242" s="44" t="s">
        <v>340</v>
      </c>
      <c r="B242" s="37" t="s">
        <v>80</v>
      </c>
      <c r="C242" s="45" t="s">
        <v>460</v>
      </c>
      <c r="D242" s="37"/>
      <c r="E242" s="38">
        <f>E243</f>
        <v>14736</v>
      </c>
      <c r="F242" s="38">
        <f>F243+F245</f>
        <v>14736</v>
      </c>
      <c r="G242" s="38">
        <f>G243</f>
        <v>8110.1</v>
      </c>
      <c r="H242" s="38">
        <f>H243+H245</f>
        <v>8110.1</v>
      </c>
      <c r="I242" s="117"/>
    </row>
    <row r="243" spans="1:9" s="1" customFormat="1" ht="64.5" customHeight="1">
      <c r="A243" s="41" t="s">
        <v>344</v>
      </c>
      <c r="B243" s="37" t="s">
        <v>80</v>
      </c>
      <c r="C243" s="45" t="s">
        <v>460</v>
      </c>
      <c r="D243" s="37" t="s">
        <v>180</v>
      </c>
      <c r="E243" s="38">
        <f>E244</f>
        <v>14736</v>
      </c>
      <c r="F243" s="38">
        <f>F244</f>
        <v>14736</v>
      </c>
      <c r="G243" s="38">
        <f>G244</f>
        <v>8110.1</v>
      </c>
      <c r="H243" s="38">
        <f>H244</f>
        <v>8110.1</v>
      </c>
      <c r="I243" s="117"/>
    </row>
    <row r="244" spans="1:9" s="1" customFormat="1" ht="24.75" customHeight="1">
      <c r="A244" s="40" t="s">
        <v>173</v>
      </c>
      <c r="B244" s="37" t="s">
        <v>80</v>
      </c>
      <c r="C244" s="45" t="s">
        <v>460</v>
      </c>
      <c r="D244" s="37" t="s">
        <v>172</v>
      </c>
      <c r="E244" s="38">
        <v>14736</v>
      </c>
      <c r="F244" s="38">
        <f>E244</f>
        <v>14736</v>
      </c>
      <c r="G244" s="38">
        <v>8110.1</v>
      </c>
      <c r="H244" s="38">
        <f>G244</f>
        <v>8110.1</v>
      </c>
      <c r="I244" s="117"/>
    </row>
    <row r="245" spans="1:9" s="1" customFormat="1" ht="29.25" customHeight="1">
      <c r="A245" s="39" t="s">
        <v>353</v>
      </c>
      <c r="B245" s="37" t="s">
        <v>80</v>
      </c>
      <c r="C245" s="37" t="s">
        <v>441</v>
      </c>
      <c r="D245" s="37"/>
      <c r="E245" s="38">
        <f>E246+E253+E260</f>
        <v>53706.3</v>
      </c>
      <c r="F245" s="38"/>
      <c r="G245" s="38">
        <f>G246+G253+G260</f>
        <v>22113.000000000004</v>
      </c>
      <c r="H245" s="38"/>
      <c r="I245" s="117"/>
    </row>
    <row r="246" spans="1:9" s="1" customFormat="1" ht="30.75" customHeight="1">
      <c r="A246" s="101" t="s">
        <v>272</v>
      </c>
      <c r="B246" s="37" t="s">
        <v>80</v>
      </c>
      <c r="C246" s="37" t="s">
        <v>433</v>
      </c>
      <c r="D246" s="95"/>
      <c r="E246" s="38">
        <f>E247+E249+E251</f>
        <v>42876.8</v>
      </c>
      <c r="F246" s="38"/>
      <c r="G246" s="38">
        <f>G247+G249+G251</f>
        <v>18002.500000000004</v>
      </c>
      <c r="H246" s="38"/>
      <c r="I246" s="117"/>
    </row>
    <row r="247" spans="1:9" s="1" customFormat="1" ht="60.75" customHeight="1">
      <c r="A247" s="41" t="s">
        <v>344</v>
      </c>
      <c r="B247" s="37" t="s">
        <v>80</v>
      </c>
      <c r="C247" s="37" t="s">
        <v>433</v>
      </c>
      <c r="D247" s="37" t="s">
        <v>180</v>
      </c>
      <c r="E247" s="38">
        <f>E248</f>
        <v>29211.6</v>
      </c>
      <c r="F247" s="38"/>
      <c r="G247" s="38">
        <f>G248</f>
        <v>13600.2</v>
      </c>
      <c r="H247" s="38"/>
      <c r="I247" s="117"/>
    </row>
    <row r="248" spans="1:9" s="1" customFormat="1" ht="21.75" customHeight="1">
      <c r="A248" s="41" t="s">
        <v>346</v>
      </c>
      <c r="B248" s="37" t="s">
        <v>80</v>
      </c>
      <c r="C248" s="37" t="s">
        <v>433</v>
      </c>
      <c r="D248" s="35" t="s">
        <v>345</v>
      </c>
      <c r="E248" s="42">
        <f>29211.6</f>
        <v>29211.6</v>
      </c>
      <c r="F248" s="42"/>
      <c r="G248" s="42">
        <v>13600.2</v>
      </c>
      <c r="H248" s="42"/>
      <c r="I248" s="117"/>
    </row>
    <row r="249" spans="1:9" s="1" customFormat="1" ht="22.5" customHeight="1">
      <c r="A249" s="44" t="s">
        <v>175</v>
      </c>
      <c r="B249" s="37" t="s">
        <v>80</v>
      </c>
      <c r="C249" s="37" t="s">
        <v>433</v>
      </c>
      <c r="D249" s="37" t="s">
        <v>174</v>
      </c>
      <c r="E249" s="42">
        <f>E250</f>
        <v>12965.2</v>
      </c>
      <c r="F249" s="42"/>
      <c r="G249" s="42">
        <f>G250</f>
        <v>4308.1</v>
      </c>
      <c r="H249" s="42"/>
      <c r="I249" s="117"/>
    </row>
    <row r="250" spans="1:9" s="1" customFormat="1" ht="31.5" customHeight="1">
      <c r="A250" s="44" t="s">
        <v>177</v>
      </c>
      <c r="B250" s="37" t="s">
        <v>80</v>
      </c>
      <c r="C250" s="37" t="s">
        <v>433</v>
      </c>
      <c r="D250" s="35" t="s">
        <v>176</v>
      </c>
      <c r="E250" s="42">
        <f>12965.2</f>
        <v>12965.2</v>
      </c>
      <c r="F250" s="42"/>
      <c r="G250" s="42">
        <v>4308.1</v>
      </c>
      <c r="H250" s="42"/>
      <c r="I250" s="117"/>
    </row>
    <row r="251" spans="1:9" s="1" customFormat="1" ht="20.25" customHeight="1">
      <c r="A251" s="44" t="s">
        <v>179</v>
      </c>
      <c r="B251" s="37" t="s">
        <v>80</v>
      </c>
      <c r="C251" s="37" t="s">
        <v>433</v>
      </c>
      <c r="D251" s="37" t="s">
        <v>178</v>
      </c>
      <c r="E251" s="42">
        <f>E252</f>
        <v>700</v>
      </c>
      <c r="F251" s="42"/>
      <c r="G251" s="42">
        <f>G252</f>
        <v>94.2</v>
      </c>
      <c r="H251" s="42"/>
      <c r="I251" s="117"/>
    </row>
    <row r="252" spans="1:9" s="1" customFormat="1" ht="20.25" customHeight="1">
      <c r="A252" s="44" t="s">
        <v>348</v>
      </c>
      <c r="B252" s="37" t="s">
        <v>80</v>
      </c>
      <c r="C252" s="37" t="s">
        <v>433</v>
      </c>
      <c r="D252" s="37" t="s">
        <v>347</v>
      </c>
      <c r="E252" s="42">
        <f>700</f>
        <v>700</v>
      </c>
      <c r="F252" s="42"/>
      <c r="G252" s="42">
        <v>94.2</v>
      </c>
      <c r="H252" s="42"/>
      <c r="I252" s="117"/>
    </row>
    <row r="253" spans="1:9" s="1" customFormat="1" ht="33" customHeight="1">
      <c r="A253" s="58" t="s">
        <v>273</v>
      </c>
      <c r="B253" s="37" t="s">
        <v>80</v>
      </c>
      <c r="C253" s="37" t="s">
        <v>200</v>
      </c>
      <c r="D253" s="45"/>
      <c r="E253" s="48">
        <f>E254+E256+E258</f>
        <v>7381.3</v>
      </c>
      <c r="F253" s="42"/>
      <c r="G253" s="48">
        <f>G254+G256+G258</f>
        <v>3231.2</v>
      </c>
      <c r="H253" s="42"/>
      <c r="I253" s="117"/>
    </row>
    <row r="254" spans="1:9" s="1" customFormat="1" ht="60" customHeight="1">
      <c r="A254" s="44" t="s">
        <v>344</v>
      </c>
      <c r="B254" s="37" t="s">
        <v>80</v>
      </c>
      <c r="C254" s="37" t="s">
        <v>200</v>
      </c>
      <c r="D254" s="46" t="s">
        <v>180</v>
      </c>
      <c r="E254" s="51">
        <f>E255</f>
        <v>6068.3</v>
      </c>
      <c r="F254" s="42"/>
      <c r="G254" s="51">
        <f>G255</f>
        <v>2621.9</v>
      </c>
      <c r="H254" s="42"/>
      <c r="I254" s="117"/>
    </row>
    <row r="255" spans="1:9" s="1" customFormat="1" ht="20.25" customHeight="1">
      <c r="A255" s="56" t="s">
        <v>346</v>
      </c>
      <c r="B255" s="37" t="s">
        <v>80</v>
      </c>
      <c r="C255" s="37" t="s">
        <v>200</v>
      </c>
      <c r="D255" s="45" t="s">
        <v>345</v>
      </c>
      <c r="E255" s="48">
        <v>6068.3</v>
      </c>
      <c r="F255" s="42"/>
      <c r="G255" s="48">
        <v>2621.9</v>
      </c>
      <c r="H255" s="42"/>
      <c r="I255" s="117"/>
    </row>
    <row r="256" spans="1:9" s="1" customFormat="1" ht="20.25" customHeight="1">
      <c r="A256" s="44" t="s">
        <v>175</v>
      </c>
      <c r="B256" s="37" t="s">
        <v>80</v>
      </c>
      <c r="C256" s="37" t="s">
        <v>200</v>
      </c>
      <c r="D256" s="46" t="s">
        <v>174</v>
      </c>
      <c r="E256" s="51">
        <f>E257</f>
        <v>1275</v>
      </c>
      <c r="F256" s="42"/>
      <c r="G256" s="51">
        <f>G257</f>
        <v>609.3</v>
      </c>
      <c r="H256" s="42"/>
      <c r="I256" s="117"/>
    </row>
    <row r="257" spans="1:9" s="1" customFormat="1" ht="33" customHeight="1">
      <c r="A257" s="56" t="s">
        <v>177</v>
      </c>
      <c r="B257" s="37" t="s">
        <v>80</v>
      </c>
      <c r="C257" s="37" t="s">
        <v>200</v>
      </c>
      <c r="D257" s="45" t="s">
        <v>176</v>
      </c>
      <c r="E257" s="48">
        <v>1275</v>
      </c>
      <c r="F257" s="42"/>
      <c r="G257" s="48">
        <v>609.3</v>
      </c>
      <c r="H257" s="42"/>
      <c r="I257" s="117"/>
    </row>
    <row r="258" spans="1:9" s="1" customFormat="1" ht="20.25" customHeight="1">
      <c r="A258" s="44" t="s">
        <v>179</v>
      </c>
      <c r="B258" s="37" t="s">
        <v>80</v>
      </c>
      <c r="C258" s="37" t="s">
        <v>200</v>
      </c>
      <c r="D258" s="46" t="s">
        <v>178</v>
      </c>
      <c r="E258" s="51">
        <f>E259</f>
        <v>38</v>
      </c>
      <c r="F258" s="42"/>
      <c r="G258" s="51">
        <f>G259</f>
        <v>0</v>
      </c>
      <c r="H258" s="42"/>
      <c r="I258" s="117"/>
    </row>
    <row r="259" spans="1:9" s="1" customFormat="1" ht="20.25" customHeight="1">
      <c r="A259" s="56" t="s">
        <v>348</v>
      </c>
      <c r="B259" s="37" t="s">
        <v>80</v>
      </c>
      <c r="C259" s="37" t="s">
        <v>200</v>
      </c>
      <c r="D259" s="46" t="s">
        <v>347</v>
      </c>
      <c r="E259" s="51">
        <v>38</v>
      </c>
      <c r="F259" s="42"/>
      <c r="G259" s="51">
        <v>0</v>
      </c>
      <c r="H259" s="42"/>
      <c r="I259" s="117"/>
    </row>
    <row r="260" spans="1:9" s="1" customFormat="1" ht="49.5" customHeight="1">
      <c r="A260" s="58" t="s">
        <v>482</v>
      </c>
      <c r="B260" s="37" t="s">
        <v>80</v>
      </c>
      <c r="C260" s="37" t="s">
        <v>483</v>
      </c>
      <c r="D260" s="45"/>
      <c r="E260" s="48">
        <f>E261</f>
        <v>3448.2</v>
      </c>
      <c r="F260" s="42"/>
      <c r="G260" s="48">
        <f>G261</f>
        <v>879.3</v>
      </c>
      <c r="H260" s="42"/>
      <c r="I260" s="117"/>
    </row>
    <row r="261" spans="1:9" s="1" customFormat="1" ht="46.5" customHeight="1">
      <c r="A261" s="56" t="s">
        <v>484</v>
      </c>
      <c r="B261" s="37" t="s">
        <v>80</v>
      </c>
      <c r="C261" s="37" t="s">
        <v>483</v>
      </c>
      <c r="D261" s="45"/>
      <c r="E261" s="48">
        <f>E262+E264</f>
        <v>3448.2</v>
      </c>
      <c r="F261" s="42"/>
      <c r="G261" s="48">
        <f>G262+G264</f>
        <v>879.3</v>
      </c>
      <c r="H261" s="42"/>
      <c r="I261" s="117"/>
    </row>
    <row r="262" spans="1:9" s="1" customFormat="1" ht="62.25" customHeight="1">
      <c r="A262" s="56" t="s">
        <v>344</v>
      </c>
      <c r="B262" s="37" t="s">
        <v>80</v>
      </c>
      <c r="C262" s="37" t="s">
        <v>483</v>
      </c>
      <c r="D262" s="45" t="s">
        <v>180</v>
      </c>
      <c r="E262" s="48">
        <f>E263</f>
        <v>2881.2</v>
      </c>
      <c r="F262" s="42"/>
      <c r="G262" s="48">
        <f>G263</f>
        <v>738.5999999999999</v>
      </c>
      <c r="H262" s="42"/>
      <c r="I262" s="117"/>
    </row>
    <row r="263" spans="1:9" s="1" customFormat="1" ht="26.25" customHeight="1">
      <c r="A263" s="56" t="s">
        <v>346</v>
      </c>
      <c r="B263" s="37" t="s">
        <v>80</v>
      </c>
      <c r="C263" s="37" t="s">
        <v>483</v>
      </c>
      <c r="D263" s="45" t="s">
        <v>345</v>
      </c>
      <c r="E263" s="48">
        <f>E268+E273+E278+E293+E298+E288+E283</f>
        <v>2881.2</v>
      </c>
      <c r="F263" s="42"/>
      <c r="G263" s="48">
        <f>G268+G273+G278+G293+G298+G288+G283</f>
        <v>738.5999999999999</v>
      </c>
      <c r="H263" s="42"/>
      <c r="I263" s="117"/>
    </row>
    <row r="264" spans="1:9" s="1" customFormat="1" ht="21" customHeight="1">
      <c r="A264" s="56" t="s">
        <v>175</v>
      </c>
      <c r="B264" s="37" t="s">
        <v>80</v>
      </c>
      <c r="C264" s="37" t="s">
        <v>483</v>
      </c>
      <c r="D264" s="45" t="s">
        <v>174</v>
      </c>
      <c r="E264" s="48">
        <f>E265</f>
        <v>566.9999999999999</v>
      </c>
      <c r="F264" s="42"/>
      <c r="G264" s="48">
        <f>G265</f>
        <v>140.7</v>
      </c>
      <c r="H264" s="42"/>
      <c r="I264" s="117"/>
    </row>
    <row r="265" spans="1:9" s="1" customFormat="1" ht="32.25" customHeight="1">
      <c r="A265" s="56" t="s">
        <v>177</v>
      </c>
      <c r="B265" s="37" t="s">
        <v>80</v>
      </c>
      <c r="C265" s="37" t="s">
        <v>483</v>
      </c>
      <c r="D265" s="45" t="s">
        <v>176</v>
      </c>
      <c r="E265" s="48">
        <f>E270+E275+E280+E295+E300+E290+E285</f>
        <v>566.9999999999999</v>
      </c>
      <c r="F265" s="42"/>
      <c r="G265" s="48">
        <f>G270+G275+G280+G295+G300+G290+G285</f>
        <v>140.7</v>
      </c>
      <c r="H265" s="42"/>
      <c r="I265" s="117"/>
    </row>
    <row r="266" spans="1:9" s="1" customFormat="1" ht="61.5" customHeight="1">
      <c r="A266" s="56" t="s">
        <v>485</v>
      </c>
      <c r="B266" s="37" t="s">
        <v>80</v>
      </c>
      <c r="C266" s="37" t="s">
        <v>486</v>
      </c>
      <c r="D266" s="45"/>
      <c r="E266" s="48">
        <f>E267+E269</f>
        <v>160.8</v>
      </c>
      <c r="F266" s="42"/>
      <c r="G266" s="48">
        <f>G267+G269</f>
        <v>45.2</v>
      </c>
      <c r="H266" s="42"/>
      <c r="I266" s="117"/>
    </row>
    <row r="267" spans="1:9" s="1" customFormat="1" ht="63" customHeight="1">
      <c r="A267" s="56" t="s">
        <v>344</v>
      </c>
      <c r="B267" s="37" t="s">
        <v>80</v>
      </c>
      <c r="C267" s="37" t="s">
        <v>486</v>
      </c>
      <c r="D267" s="45" t="s">
        <v>180</v>
      </c>
      <c r="E267" s="48">
        <f>E268</f>
        <v>134</v>
      </c>
      <c r="F267" s="42"/>
      <c r="G267" s="48">
        <f>G268</f>
        <v>38.5</v>
      </c>
      <c r="H267" s="42"/>
      <c r="I267" s="117"/>
    </row>
    <row r="268" spans="1:9" s="1" customFormat="1" ht="20.25" customHeight="1">
      <c r="A268" s="56" t="s">
        <v>346</v>
      </c>
      <c r="B268" s="37" t="s">
        <v>80</v>
      </c>
      <c r="C268" s="37" t="s">
        <v>486</v>
      </c>
      <c r="D268" s="45" t="s">
        <v>345</v>
      </c>
      <c r="E268" s="48">
        <v>134</v>
      </c>
      <c r="F268" s="42"/>
      <c r="G268" s="48">
        <v>38.5</v>
      </c>
      <c r="H268" s="42"/>
      <c r="I268" s="117"/>
    </row>
    <row r="269" spans="1:9" s="1" customFormat="1" ht="25.5" customHeight="1">
      <c r="A269" s="56" t="s">
        <v>175</v>
      </c>
      <c r="B269" s="37" t="s">
        <v>80</v>
      </c>
      <c r="C269" s="37" t="s">
        <v>486</v>
      </c>
      <c r="D269" s="45" t="s">
        <v>174</v>
      </c>
      <c r="E269" s="48">
        <f>E270</f>
        <v>26.8</v>
      </c>
      <c r="F269" s="42"/>
      <c r="G269" s="48">
        <f>G270</f>
        <v>6.7</v>
      </c>
      <c r="H269" s="42"/>
      <c r="I269" s="117"/>
    </row>
    <row r="270" spans="1:9" s="1" customFormat="1" ht="31.5" customHeight="1">
      <c r="A270" s="56" t="s">
        <v>177</v>
      </c>
      <c r="B270" s="37" t="s">
        <v>80</v>
      </c>
      <c r="C270" s="37" t="s">
        <v>486</v>
      </c>
      <c r="D270" s="45" t="s">
        <v>176</v>
      </c>
      <c r="E270" s="48">
        <v>26.8</v>
      </c>
      <c r="F270" s="42"/>
      <c r="G270" s="48">
        <v>6.7</v>
      </c>
      <c r="H270" s="42"/>
      <c r="I270" s="117"/>
    </row>
    <row r="271" spans="1:9" s="1" customFormat="1" ht="58.5" customHeight="1">
      <c r="A271" s="56" t="s">
        <v>498</v>
      </c>
      <c r="B271" s="37" t="s">
        <v>80</v>
      </c>
      <c r="C271" s="37" t="s">
        <v>487</v>
      </c>
      <c r="D271" s="45"/>
      <c r="E271" s="48">
        <f>E272+E274</f>
        <v>2412.2</v>
      </c>
      <c r="F271" s="42"/>
      <c r="G271" s="48">
        <f>G272+G274</f>
        <v>742.8</v>
      </c>
      <c r="H271" s="42"/>
      <c r="I271" s="117"/>
    </row>
    <row r="272" spans="1:9" s="1" customFormat="1" ht="59.25" customHeight="1">
      <c r="A272" s="56" t="s">
        <v>344</v>
      </c>
      <c r="B272" s="37" t="s">
        <v>80</v>
      </c>
      <c r="C272" s="37" t="s">
        <v>487</v>
      </c>
      <c r="D272" s="45" t="s">
        <v>180</v>
      </c>
      <c r="E272" s="48">
        <f>E273</f>
        <v>2010.2</v>
      </c>
      <c r="F272" s="42"/>
      <c r="G272" s="48">
        <f>G273</f>
        <v>608.8</v>
      </c>
      <c r="H272" s="42"/>
      <c r="I272" s="117"/>
    </row>
    <row r="273" spans="1:9" s="1" customFormat="1" ht="20.25" customHeight="1">
      <c r="A273" s="56" t="s">
        <v>346</v>
      </c>
      <c r="B273" s="37" t="s">
        <v>80</v>
      </c>
      <c r="C273" s="37" t="s">
        <v>487</v>
      </c>
      <c r="D273" s="45" t="s">
        <v>345</v>
      </c>
      <c r="E273" s="48">
        <v>2010.2</v>
      </c>
      <c r="F273" s="42"/>
      <c r="G273" s="48">
        <v>608.8</v>
      </c>
      <c r="H273" s="42"/>
      <c r="I273" s="117"/>
    </row>
    <row r="274" spans="1:9" s="1" customFormat="1" ht="20.25" customHeight="1">
      <c r="A274" s="56" t="s">
        <v>175</v>
      </c>
      <c r="B274" s="37" t="s">
        <v>80</v>
      </c>
      <c r="C274" s="37" t="s">
        <v>487</v>
      </c>
      <c r="D274" s="45" t="s">
        <v>174</v>
      </c>
      <c r="E274" s="48">
        <f>E275</f>
        <v>402</v>
      </c>
      <c r="F274" s="42"/>
      <c r="G274" s="48">
        <f>G275</f>
        <v>134</v>
      </c>
      <c r="H274" s="42"/>
      <c r="I274" s="117"/>
    </row>
    <row r="275" spans="1:9" s="1" customFormat="1" ht="37.5" customHeight="1">
      <c r="A275" s="56" t="s">
        <v>177</v>
      </c>
      <c r="B275" s="37" t="s">
        <v>80</v>
      </c>
      <c r="C275" s="37" t="s">
        <v>487</v>
      </c>
      <c r="D275" s="45" t="s">
        <v>176</v>
      </c>
      <c r="E275" s="48">
        <v>402</v>
      </c>
      <c r="F275" s="42"/>
      <c r="G275" s="48">
        <v>134</v>
      </c>
      <c r="H275" s="42"/>
      <c r="I275" s="117"/>
    </row>
    <row r="276" spans="1:9" s="1" customFormat="1" ht="57" customHeight="1">
      <c r="A276" s="56" t="s">
        <v>488</v>
      </c>
      <c r="B276" s="45" t="s">
        <v>80</v>
      </c>
      <c r="C276" s="45" t="s">
        <v>489</v>
      </c>
      <c r="D276" s="45"/>
      <c r="E276" s="48">
        <f>E277+E279</f>
        <v>402</v>
      </c>
      <c r="F276" s="42"/>
      <c r="G276" s="48">
        <f>G277+G279</f>
        <v>0</v>
      </c>
      <c r="H276" s="42"/>
      <c r="I276" s="117"/>
    </row>
    <row r="277" spans="1:9" s="1" customFormat="1" ht="63" customHeight="1">
      <c r="A277" s="56" t="s">
        <v>344</v>
      </c>
      <c r="B277" s="37" t="s">
        <v>80</v>
      </c>
      <c r="C277" s="37" t="s">
        <v>489</v>
      </c>
      <c r="D277" s="45" t="s">
        <v>180</v>
      </c>
      <c r="E277" s="48">
        <f>E278</f>
        <v>335</v>
      </c>
      <c r="F277" s="42"/>
      <c r="G277" s="48">
        <f>G278</f>
        <v>0</v>
      </c>
      <c r="H277" s="42"/>
      <c r="I277" s="117"/>
    </row>
    <row r="278" spans="1:9" s="1" customFormat="1" ht="20.25" customHeight="1">
      <c r="A278" s="56" t="s">
        <v>346</v>
      </c>
      <c r="B278" s="37" t="s">
        <v>80</v>
      </c>
      <c r="C278" s="37" t="s">
        <v>489</v>
      </c>
      <c r="D278" s="45" t="s">
        <v>345</v>
      </c>
      <c r="E278" s="48">
        <v>335</v>
      </c>
      <c r="F278" s="42"/>
      <c r="G278" s="48">
        <v>0</v>
      </c>
      <c r="H278" s="42"/>
      <c r="I278" s="117"/>
    </row>
    <row r="279" spans="1:9" s="1" customFormat="1" ht="21" customHeight="1">
      <c r="A279" s="56" t="s">
        <v>175</v>
      </c>
      <c r="B279" s="37" t="s">
        <v>80</v>
      </c>
      <c r="C279" s="37" t="s">
        <v>489</v>
      </c>
      <c r="D279" s="45" t="s">
        <v>174</v>
      </c>
      <c r="E279" s="48">
        <f>E280</f>
        <v>67</v>
      </c>
      <c r="F279" s="42"/>
      <c r="G279" s="48">
        <f>G280</f>
        <v>0</v>
      </c>
      <c r="H279" s="42"/>
      <c r="I279" s="117"/>
    </row>
    <row r="280" spans="1:9" s="1" customFormat="1" ht="37.5" customHeight="1">
      <c r="A280" s="56" t="s">
        <v>177</v>
      </c>
      <c r="B280" s="37" t="s">
        <v>80</v>
      </c>
      <c r="C280" s="37" t="s">
        <v>489</v>
      </c>
      <c r="D280" s="45" t="s">
        <v>176</v>
      </c>
      <c r="E280" s="48">
        <v>67</v>
      </c>
      <c r="F280" s="42"/>
      <c r="G280" s="48">
        <v>0</v>
      </c>
      <c r="H280" s="42"/>
      <c r="I280" s="117"/>
    </row>
    <row r="281" spans="1:9" s="1" customFormat="1" ht="58.5" customHeight="1">
      <c r="A281" s="56" t="s">
        <v>490</v>
      </c>
      <c r="B281" s="37" t="s">
        <v>80</v>
      </c>
      <c r="C281" s="37" t="s">
        <v>491</v>
      </c>
      <c r="D281" s="45"/>
      <c r="E281" s="48">
        <f>E282+E284</f>
        <v>160.8</v>
      </c>
      <c r="F281" s="42"/>
      <c r="G281" s="48">
        <f>G282+G284</f>
        <v>33.5</v>
      </c>
      <c r="H281" s="42"/>
      <c r="I281" s="117"/>
    </row>
    <row r="282" spans="1:9" s="1" customFormat="1" ht="59.25" customHeight="1">
      <c r="A282" s="56" t="s">
        <v>344</v>
      </c>
      <c r="B282" s="37" t="s">
        <v>80</v>
      </c>
      <c r="C282" s="37" t="s">
        <v>491</v>
      </c>
      <c r="D282" s="45" t="s">
        <v>180</v>
      </c>
      <c r="E282" s="48">
        <f>E283</f>
        <v>134</v>
      </c>
      <c r="F282" s="42"/>
      <c r="G282" s="48">
        <f>G283</f>
        <v>33.5</v>
      </c>
      <c r="H282" s="42"/>
      <c r="I282" s="117"/>
    </row>
    <row r="283" spans="1:9" s="1" customFormat="1" ht="20.25" customHeight="1">
      <c r="A283" s="56" t="s">
        <v>346</v>
      </c>
      <c r="B283" s="37" t="s">
        <v>80</v>
      </c>
      <c r="C283" s="37" t="s">
        <v>491</v>
      </c>
      <c r="D283" s="45" t="s">
        <v>345</v>
      </c>
      <c r="E283" s="48">
        <v>134</v>
      </c>
      <c r="F283" s="42"/>
      <c r="G283" s="48">
        <v>33.5</v>
      </c>
      <c r="H283" s="42"/>
      <c r="I283" s="117"/>
    </row>
    <row r="284" spans="1:9" s="1" customFormat="1" ht="20.25" customHeight="1">
      <c r="A284" s="56" t="s">
        <v>175</v>
      </c>
      <c r="B284" s="37" t="s">
        <v>80</v>
      </c>
      <c r="C284" s="37" t="s">
        <v>491</v>
      </c>
      <c r="D284" s="45" t="s">
        <v>174</v>
      </c>
      <c r="E284" s="48">
        <f>E285</f>
        <v>26.8</v>
      </c>
      <c r="F284" s="42"/>
      <c r="G284" s="48">
        <f>G285</f>
        <v>0</v>
      </c>
      <c r="H284" s="42"/>
      <c r="I284" s="117"/>
    </row>
    <row r="285" spans="1:9" s="1" customFormat="1" ht="29.25" customHeight="1">
      <c r="A285" s="56" t="s">
        <v>177</v>
      </c>
      <c r="B285" s="37" t="s">
        <v>80</v>
      </c>
      <c r="C285" s="37" t="s">
        <v>491</v>
      </c>
      <c r="D285" s="45" t="s">
        <v>176</v>
      </c>
      <c r="E285" s="48">
        <v>26.8</v>
      </c>
      <c r="F285" s="42"/>
      <c r="G285" s="48">
        <v>0</v>
      </c>
      <c r="H285" s="42"/>
      <c r="I285" s="117"/>
    </row>
    <row r="286" spans="1:9" s="1" customFormat="1" ht="60" customHeight="1">
      <c r="A286" s="56" t="s">
        <v>492</v>
      </c>
      <c r="B286" s="37" t="s">
        <v>80</v>
      </c>
      <c r="C286" s="37" t="s">
        <v>493</v>
      </c>
      <c r="D286" s="45"/>
      <c r="E286" s="48">
        <f>E287+E289</f>
        <v>160.8</v>
      </c>
      <c r="F286" s="42"/>
      <c r="G286" s="48">
        <f>G287+G289</f>
        <v>33.5</v>
      </c>
      <c r="H286" s="42"/>
      <c r="I286" s="117"/>
    </row>
    <row r="287" spans="1:9" s="1" customFormat="1" ht="62.25" customHeight="1">
      <c r="A287" s="56" t="s">
        <v>344</v>
      </c>
      <c r="B287" s="37" t="s">
        <v>80</v>
      </c>
      <c r="C287" s="37" t="s">
        <v>493</v>
      </c>
      <c r="D287" s="45" t="s">
        <v>180</v>
      </c>
      <c r="E287" s="48">
        <f>E288</f>
        <v>134</v>
      </c>
      <c r="F287" s="42"/>
      <c r="G287" s="48">
        <f>G288</f>
        <v>33.5</v>
      </c>
      <c r="H287" s="42"/>
      <c r="I287" s="117"/>
    </row>
    <row r="288" spans="1:9" s="1" customFormat="1" ht="20.25" customHeight="1">
      <c r="A288" s="56" t="s">
        <v>346</v>
      </c>
      <c r="B288" s="37" t="s">
        <v>80</v>
      </c>
      <c r="C288" s="37" t="s">
        <v>493</v>
      </c>
      <c r="D288" s="45" t="s">
        <v>345</v>
      </c>
      <c r="E288" s="48">
        <v>134</v>
      </c>
      <c r="F288" s="42"/>
      <c r="G288" s="48">
        <v>33.5</v>
      </c>
      <c r="H288" s="42"/>
      <c r="I288" s="117"/>
    </row>
    <row r="289" spans="1:9" s="1" customFormat="1" ht="20.25" customHeight="1">
      <c r="A289" s="56" t="s">
        <v>175</v>
      </c>
      <c r="B289" s="37" t="s">
        <v>80</v>
      </c>
      <c r="C289" s="37" t="s">
        <v>493</v>
      </c>
      <c r="D289" s="45" t="s">
        <v>174</v>
      </c>
      <c r="E289" s="48">
        <f>E290</f>
        <v>26.8</v>
      </c>
      <c r="F289" s="42"/>
      <c r="G289" s="48">
        <f>G290</f>
        <v>0</v>
      </c>
      <c r="H289" s="42"/>
      <c r="I289" s="117"/>
    </row>
    <row r="290" spans="1:9" s="1" customFormat="1" ht="36.75" customHeight="1">
      <c r="A290" s="56" t="s">
        <v>177</v>
      </c>
      <c r="B290" s="37" t="s">
        <v>80</v>
      </c>
      <c r="C290" s="37" t="s">
        <v>493</v>
      </c>
      <c r="D290" s="45" t="s">
        <v>176</v>
      </c>
      <c r="E290" s="48">
        <v>26.8</v>
      </c>
      <c r="F290" s="42"/>
      <c r="G290" s="48">
        <v>0</v>
      </c>
      <c r="H290" s="42"/>
      <c r="I290" s="117"/>
    </row>
    <row r="291" spans="1:9" s="1" customFormat="1" ht="59.25" customHeight="1">
      <c r="A291" s="56" t="s">
        <v>494</v>
      </c>
      <c r="B291" s="37" t="s">
        <v>80</v>
      </c>
      <c r="C291" s="37" t="s">
        <v>495</v>
      </c>
      <c r="D291" s="45"/>
      <c r="E291" s="48">
        <f>E292+E294</f>
        <v>80.4</v>
      </c>
      <c r="F291" s="42"/>
      <c r="G291" s="48">
        <f>G292+G294</f>
        <v>6.5</v>
      </c>
      <c r="H291" s="42"/>
      <c r="I291" s="117"/>
    </row>
    <row r="292" spans="1:9" s="1" customFormat="1" ht="61.5" customHeight="1">
      <c r="A292" s="56" t="s">
        <v>344</v>
      </c>
      <c r="B292" s="37" t="s">
        <v>80</v>
      </c>
      <c r="C292" s="37" t="s">
        <v>495</v>
      </c>
      <c r="D292" s="45" t="s">
        <v>180</v>
      </c>
      <c r="E292" s="48">
        <f>E293</f>
        <v>67</v>
      </c>
      <c r="F292" s="42"/>
      <c r="G292" s="48">
        <f>G293</f>
        <v>6.5</v>
      </c>
      <c r="H292" s="42"/>
      <c r="I292" s="117"/>
    </row>
    <row r="293" spans="1:9" s="1" customFormat="1" ht="20.25" customHeight="1">
      <c r="A293" s="56" t="s">
        <v>346</v>
      </c>
      <c r="B293" s="37" t="s">
        <v>80</v>
      </c>
      <c r="C293" s="37" t="s">
        <v>495</v>
      </c>
      <c r="D293" s="45" t="s">
        <v>345</v>
      </c>
      <c r="E293" s="48">
        <v>67</v>
      </c>
      <c r="F293" s="42"/>
      <c r="G293" s="48">
        <v>6.5</v>
      </c>
      <c r="H293" s="42"/>
      <c r="I293" s="117"/>
    </row>
    <row r="294" spans="1:9" s="1" customFormat="1" ht="27" customHeight="1">
      <c r="A294" s="56" t="s">
        <v>175</v>
      </c>
      <c r="B294" s="37" t="s">
        <v>80</v>
      </c>
      <c r="C294" s="37" t="s">
        <v>495</v>
      </c>
      <c r="D294" s="45" t="s">
        <v>174</v>
      </c>
      <c r="E294" s="48">
        <f>E295</f>
        <v>13.4</v>
      </c>
      <c r="F294" s="42"/>
      <c r="G294" s="48">
        <f>G295</f>
        <v>0</v>
      </c>
      <c r="H294" s="42"/>
      <c r="I294" s="117"/>
    </row>
    <row r="295" spans="1:9" s="1" customFormat="1" ht="31.5" customHeight="1">
      <c r="A295" s="56" t="s">
        <v>177</v>
      </c>
      <c r="B295" s="37" t="s">
        <v>80</v>
      </c>
      <c r="C295" s="37" t="s">
        <v>495</v>
      </c>
      <c r="D295" s="45" t="s">
        <v>176</v>
      </c>
      <c r="E295" s="48">
        <v>13.4</v>
      </c>
      <c r="F295" s="42"/>
      <c r="G295" s="48">
        <v>0</v>
      </c>
      <c r="H295" s="42"/>
      <c r="I295" s="117"/>
    </row>
    <row r="296" spans="1:9" s="1" customFormat="1" ht="60" customHeight="1">
      <c r="A296" s="56" t="s">
        <v>496</v>
      </c>
      <c r="B296" s="45" t="s">
        <v>80</v>
      </c>
      <c r="C296" s="45" t="s">
        <v>497</v>
      </c>
      <c r="D296" s="45"/>
      <c r="E296" s="48">
        <f>E297+E299</f>
        <v>71.2</v>
      </c>
      <c r="F296" s="42"/>
      <c r="G296" s="48">
        <f>G297+G299</f>
        <v>17.8</v>
      </c>
      <c r="H296" s="42"/>
      <c r="I296" s="117"/>
    </row>
    <row r="297" spans="1:9" s="1" customFormat="1" ht="63" customHeight="1">
      <c r="A297" s="56" t="s">
        <v>344</v>
      </c>
      <c r="B297" s="37" t="s">
        <v>80</v>
      </c>
      <c r="C297" s="37" t="s">
        <v>497</v>
      </c>
      <c r="D297" s="45" t="s">
        <v>180</v>
      </c>
      <c r="E297" s="48">
        <f>E298</f>
        <v>67</v>
      </c>
      <c r="F297" s="42"/>
      <c r="G297" s="48">
        <f>G298</f>
        <v>17.8</v>
      </c>
      <c r="H297" s="42"/>
      <c r="I297" s="117"/>
    </row>
    <row r="298" spans="1:9" s="1" customFormat="1" ht="20.25" customHeight="1">
      <c r="A298" s="56" t="s">
        <v>346</v>
      </c>
      <c r="B298" s="37" t="s">
        <v>80</v>
      </c>
      <c r="C298" s="37" t="s">
        <v>497</v>
      </c>
      <c r="D298" s="45" t="s">
        <v>345</v>
      </c>
      <c r="E298" s="48">
        <v>67</v>
      </c>
      <c r="F298" s="42"/>
      <c r="G298" s="48">
        <v>17.8</v>
      </c>
      <c r="H298" s="42"/>
      <c r="I298" s="117"/>
    </row>
    <row r="299" spans="1:9" s="1" customFormat="1" ht="20.25" customHeight="1">
      <c r="A299" s="56" t="s">
        <v>175</v>
      </c>
      <c r="B299" s="37" t="s">
        <v>80</v>
      </c>
      <c r="C299" s="37" t="s">
        <v>497</v>
      </c>
      <c r="D299" s="45" t="s">
        <v>174</v>
      </c>
      <c r="E299" s="48">
        <f>E300</f>
        <v>4.2</v>
      </c>
      <c r="F299" s="42"/>
      <c r="G299" s="48">
        <f>G300</f>
        <v>0</v>
      </c>
      <c r="H299" s="42"/>
      <c r="I299" s="117"/>
    </row>
    <row r="300" spans="1:9" s="1" customFormat="1" ht="37.5" customHeight="1">
      <c r="A300" s="56" t="s">
        <v>177</v>
      </c>
      <c r="B300" s="37" t="s">
        <v>80</v>
      </c>
      <c r="C300" s="37" t="s">
        <v>497</v>
      </c>
      <c r="D300" s="45" t="s">
        <v>176</v>
      </c>
      <c r="E300" s="48">
        <v>4.2</v>
      </c>
      <c r="F300" s="42"/>
      <c r="G300" s="48">
        <v>0</v>
      </c>
      <c r="H300" s="42"/>
      <c r="I300" s="117"/>
    </row>
    <row r="301" spans="1:9" s="1" customFormat="1" ht="87" customHeight="1">
      <c r="A301" s="54" t="s">
        <v>9</v>
      </c>
      <c r="B301" s="37" t="s">
        <v>80</v>
      </c>
      <c r="C301" s="37" t="s">
        <v>39</v>
      </c>
      <c r="D301" s="37"/>
      <c r="E301" s="38">
        <f>E302+E304+E310+E307+E313</f>
        <v>93074.5</v>
      </c>
      <c r="F301" s="38">
        <f>F302+F304+F310</f>
        <v>10079</v>
      </c>
      <c r="G301" s="38">
        <f>G302+G304+G310+G307+G313</f>
        <v>48530.2</v>
      </c>
      <c r="H301" s="38">
        <f>H302+H304+H310</f>
        <v>8935</v>
      </c>
      <c r="I301" s="117"/>
    </row>
    <row r="302" spans="1:9" s="1" customFormat="1" ht="36" customHeight="1">
      <c r="A302" s="34" t="s">
        <v>352</v>
      </c>
      <c r="B302" s="37" t="s">
        <v>80</v>
      </c>
      <c r="C302" s="37" t="s">
        <v>40</v>
      </c>
      <c r="D302" s="37" t="s">
        <v>351</v>
      </c>
      <c r="E302" s="38">
        <f>E303</f>
        <v>82450.5</v>
      </c>
      <c r="F302" s="38"/>
      <c r="G302" s="38">
        <f>G303</f>
        <v>39506.2</v>
      </c>
      <c r="H302" s="38"/>
      <c r="I302" s="117"/>
    </row>
    <row r="303" spans="1:9" s="1" customFormat="1" ht="21.75" customHeight="1">
      <c r="A303" s="41" t="s">
        <v>350</v>
      </c>
      <c r="B303" s="37" t="s">
        <v>80</v>
      </c>
      <c r="C303" s="37" t="s">
        <v>40</v>
      </c>
      <c r="D303" s="37" t="s">
        <v>349</v>
      </c>
      <c r="E303" s="38">
        <f>68434+14561.5-89-456</f>
        <v>82450.5</v>
      </c>
      <c r="F303" s="38"/>
      <c r="G303" s="38">
        <v>39506.2</v>
      </c>
      <c r="H303" s="38"/>
      <c r="I303" s="117"/>
    </row>
    <row r="304" spans="1:9" s="1" customFormat="1" ht="118.5" customHeight="1">
      <c r="A304" s="44" t="s">
        <v>504</v>
      </c>
      <c r="B304" s="37" t="s">
        <v>80</v>
      </c>
      <c r="C304" s="8" t="s">
        <v>505</v>
      </c>
      <c r="D304" s="8"/>
      <c r="E304" s="38">
        <f aca="true" t="shared" si="4" ref="E304:H305">E305</f>
        <v>8935</v>
      </c>
      <c r="F304" s="38">
        <f t="shared" si="4"/>
        <v>8935</v>
      </c>
      <c r="G304" s="38">
        <f t="shared" si="4"/>
        <v>8935</v>
      </c>
      <c r="H304" s="38">
        <f t="shared" si="4"/>
        <v>8935</v>
      </c>
      <c r="I304" s="117"/>
    </row>
    <row r="305" spans="1:9" s="1" customFormat="1" ht="30.75" customHeight="1">
      <c r="A305" s="34" t="s">
        <v>352</v>
      </c>
      <c r="B305" s="37" t="s">
        <v>80</v>
      </c>
      <c r="C305" s="8" t="s">
        <v>505</v>
      </c>
      <c r="D305" s="8" t="s">
        <v>351</v>
      </c>
      <c r="E305" s="38">
        <f t="shared" si="4"/>
        <v>8935</v>
      </c>
      <c r="F305" s="38">
        <f t="shared" si="4"/>
        <v>8935</v>
      </c>
      <c r="G305" s="38">
        <f t="shared" si="4"/>
        <v>8935</v>
      </c>
      <c r="H305" s="38">
        <f t="shared" si="4"/>
        <v>8935</v>
      </c>
      <c r="I305" s="117"/>
    </row>
    <row r="306" spans="1:9" s="1" customFormat="1" ht="21.75" customHeight="1">
      <c r="A306" s="41" t="s">
        <v>350</v>
      </c>
      <c r="B306" s="37" t="s">
        <v>80</v>
      </c>
      <c r="C306" s="8" t="s">
        <v>505</v>
      </c>
      <c r="D306" s="8" t="s">
        <v>349</v>
      </c>
      <c r="E306" s="38">
        <f>8935</f>
        <v>8935</v>
      </c>
      <c r="F306" s="38">
        <f>E306</f>
        <v>8935</v>
      </c>
      <c r="G306" s="38">
        <v>8935</v>
      </c>
      <c r="H306" s="38">
        <f>G306</f>
        <v>8935</v>
      </c>
      <c r="I306" s="117"/>
    </row>
    <row r="307" spans="1:9" s="1" customFormat="1" ht="120.75" customHeight="1">
      <c r="A307" s="44" t="s">
        <v>609</v>
      </c>
      <c r="B307" s="37" t="s">
        <v>80</v>
      </c>
      <c r="C307" s="8" t="s">
        <v>610</v>
      </c>
      <c r="D307" s="8"/>
      <c r="E307" s="38">
        <f aca="true" t="shared" si="5" ref="E307:H308">E308</f>
        <v>89</v>
      </c>
      <c r="F307" s="38">
        <f t="shared" si="5"/>
        <v>0</v>
      </c>
      <c r="G307" s="38">
        <f t="shared" si="5"/>
        <v>89</v>
      </c>
      <c r="H307" s="38">
        <f t="shared" si="5"/>
        <v>0</v>
      </c>
      <c r="I307" s="117"/>
    </row>
    <row r="308" spans="1:9" s="1" customFormat="1" ht="32.25" customHeight="1">
      <c r="A308" s="34" t="s">
        <v>352</v>
      </c>
      <c r="B308" s="37" t="s">
        <v>80</v>
      </c>
      <c r="C308" s="8" t="s">
        <v>610</v>
      </c>
      <c r="D308" s="8" t="s">
        <v>351</v>
      </c>
      <c r="E308" s="38">
        <f t="shared" si="5"/>
        <v>89</v>
      </c>
      <c r="F308" s="38">
        <f t="shared" si="5"/>
        <v>0</v>
      </c>
      <c r="G308" s="38">
        <f t="shared" si="5"/>
        <v>89</v>
      </c>
      <c r="H308" s="38">
        <f t="shared" si="5"/>
        <v>0</v>
      </c>
      <c r="I308" s="117"/>
    </row>
    <row r="309" spans="1:9" s="1" customFormat="1" ht="21.75" customHeight="1">
      <c r="A309" s="41" t="s">
        <v>350</v>
      </c>
      <c r="B309" s="37" t="s">
        <v>80</v>
      </c>
      <c r="C309" s="8" t="s">
        <v>610</v>
      </c>
      <c r="D309" s="8" t="s">
        <v>349</v>
      </c>
      <c r="E309" s="38">
        <v>89</v>
      </c>
      <c r="F309" s="38">
        <v>0</v>
      </c>
      <c r="G309" s="38">
        <v>89</v>
      </c>
      <c r="H309" s="38">
        <v>0</v>
      </c>
      <c r="I309" s="117"/>
    </row>
    <row r="310" spans="1:9" s="1" customFormat="1" ht="104.25" customHeight="1">
      <c r="A310" s="44" t="s">
        <v>661</v>
      </c>
      <c r="B310" s="37" t="s">
        <v>80</v>
      </c>
      <c r="C310" s="8" t="s">
        <v>506</v>
      </c>
      <c r="D310" s="8"/>
      <c r="E310" s="38">
        <f aca="true" t="shared" si="6" ref="E310:H311">E311</f>
        <v>1144</v>
      </c>
      <c r="F310" s="38">
        <f t="shared" si="6"/>
        <v>1144</v>
      </c>
      <c r="G310" s="38">
        <f t="shared" si="6"/>
        <v>0</v>
      </c>
      <c r="H310" s="38">
        <f t="shared" si="6"/>
        <v>0</v>
      </c>
      <c r="I310" s="117"/>
    </row>
    <row r="311" spans="1:9" s="1" customFormat="1" ht="28.5" customHeight="1">
      <c r="A311" s="34" t="s">
        <v>352</v>
      </c>
      <c r="B311" s="37" t="s">
        <v>80</v>
      </c>
      <c r="C311" s="8" t="s">
        <v>506</v>
      </c>
      <c r="D311" s="8" t="s">
        <v>351</v>
      </c>
      <c r="E311" s="38">
        <f t="shared" si="6"/>
        <v>1144</v>
      </c>
      <c r="F311" s="38">
        <f t="shared" si="6"/>
        <v>1144</v>
      </c>
      <c r="G311" s="38">
        <f t="shared" si="6"/>
        <v>0</v>
      </c>
      <c r="H311" s="38">
        <f t="shared" si="6"/>
        <v>0</v>
      </c>
      <c r="I311" s="117"/>
    </row>
    <row r="312" spans="1:9" s="1" customFormat="1" ht="21.75" customHeight="1">
      <c r="A312" s="41" t="s">
        <v>350</v>
      </c>
      <c r="B312" s="37" t="s">
        <v>80</v>
      </c>
      <c r="C312" s="8" t="s">
        <v>506</v>
      </c>
      <c r="D312" s="8" t="s">
        <v>349</v>
      </c>
      <c r="E312" s="38">
        <v>1144</v>
      </c>
      <c r="F312" s="38">
        <f>E312</f>
        <v>1144</v>
      </c>
      <c r="G312" s="38">
        <v>0</v>
      </c>
      <c r="H312" s="38">
        <f>G312</f>
        <v>0</v>
      </c>
      <c r="I312" s="117"/>
    </row>
    <row r="313" spans="1:9" s="1" customFormat="1" ht="118.5" customHeight="1">
      <c r="A313" s="44" t="s">
        <v>662</v>
      </c>
      <c r="B313" s="37" t="s">
        <v>80</v>
      </c>
      <c r="C313" s="8" t="s">
        <v>613</v>
      </c>
      <c r="D313" s="8"/>
      <c r="E313" s="38">
        <f aca="true" t="shared" si="7" ref="E313:H314">E314</f>
        <v>456</v>
      </c>
      <c r="F313" s="38">
        <f t="shared" si="7"/>
        <v>0</v>
      </c>
      <c r="G313" s="38">
        <f t="shared" si="7"/>
        <v>0</v>
      </c>
      <c r="H313" s="38">
        <f t="shared" si="7"/>
        <v>0</v>
      </c>
      <c r="I313" s="117"/>
    </row>
    <row r="314" spans="1:9" s="1" customFormat="1" ht="29.25" customHeight="1">
      <c r="A314" s="34" t="s">
        <v>352</v>
      </c>
      <c r="B314" s="37" t="s">
        <v>80</v>
      </c>
      <c r="C314" s="8" t="s">
        <v>613</v>
      </c>
      <c r="D314" s="8" t="s">
        <v>351</v>
      </c>
      <c r="E314" s="38">
        <f t="shared" si="7"/>
        <v>456</v>
      </c>
      <c r="F314" s="38">
        <f t="shared" si="7"/>
        <v>0</v>
      </c>
      <c r="G314" s="38">
        <f t="shared" si="7"/>
        <v>0</v>
      </c>
      <c r="H314" s="38">
        <f t="shared" si="7"/>
        <v>0</v>
      </c>
      <c r="I314" s="117"/>
    </row>
    <row r="315" spans="1:9" s="1" customFormat="1" ht="21.75" customHeight="1">
      <c r="A315" s="41" t="s">
        <v>350</v>
      </c>
      <c r="B315" s="37" t="s">
        <v>80</v>
      </c>
      <c r="C315" s="8" t="s">
        <v>613</v>
      </c>
      <c r="D315" s="8" t="s">
        <v>349</v>
      </c>
      <c r="E315" s="38">
        <v>456</v>
      </c>
      <c r="F315" s="38">
        <v>0</v>
      </c>
      <c r="G315" s="38">
        <v>0</v>
      </c>
      <c r="H315" s="38">
        <v>0</v>
      </c>
      <c r="I315" s="117"/>
    </row>
    <row r="316" spans="1:9" s="1" customFormat="1" ht="46.5" customHeight="1">
      <c r="A316" s="44" t="s">
        <v>11</v>
      </c>
      <c r="B316" s="45" t="s">
        <v>80</v>
      </c>
      <c r="C316" s="46" t="s">
        <v>35</v>
      </c>
      <c r="D316" s="46"/>
      <c r="E316" s="42">
        <f>E317+E320</f>
        <v>6252</v>
      </c>
      <c r="F316" s="42">
        <f>F317</f>
        <v>0</v>
      </c>
      <c r="G316" s="42">
        <f>G317+G320</f>
        <v>1289</v>
      </c>
      <c r="H316" s="42">
        <f>H317</f>
        <v>0</v>
      </c>
      <c r="I316" s="117"/>
    </row>
    <row r="317" spans="1:9" s="1" customFormat="1" ht="24" customHeight="1">
      <c r="A317" s="44" t="s">
        <v>197</v>
      </c>
      <c r="B317" s="45" t="s">
        <v>80</v>
      </c>
      <c r="C317" s="46" t="s">
        <v>196</v>
      </c>
      <c r="D317" s="46"/>
      <c r="E317" s="51">
        <f>E318</f>
        <v>5973.3</v>
      </c>
      <c r="F317" s="92"/>
      <c r="G317" s="51">
        <f>G318</f>
        <v>1110.4</v>
      </c>
      <c r="H317" s="92"/>
      <c r="I317" s="117"/>
    </row>
    <row r="318" spans="1:9" s="1" customFormat="1" ht="18" customHeight="1">
      <c r="A318" s="44" t="s">
        <v>175</v>
      </c>
      <c r="B318" s="45" t="s">
        <v>80</v>
      </c>
      <c r="C318" s="46" t="s">
        <v>196</v>
      </c>
      <c r="D318" s="46" t="s">
        <v>174</v>
      </c>
      <c r="E318" s="51">
        <f>E319</f>
        <v>5973.3</v>
      </c>
      <c r="F318" s="92"/>
      <c r="G318" s="51">
        <f>G319</f>
        <v>1110.4</v>
      </c>
      <c r="H318" s="92"/>
      <c r="I318" s="117"/>
    </row>
    <row r="319" spans="1:9" s="1" customFormat="1" ht="33.75" customHeight="1">
      <c r="A319" s="56" t="s">
        <v>177</v>
      </c>
      <c r="B319" s="45" t="s">
        <v>80</v>
      </c>
      <c r="C319" s="46" t="s">
        <v>196</v>
      </c>
      <c r="D319" s="45" t="s">
        <v>176</v>
      </c>
      <c r="E319" s="48">
        <f>5973.3</f>
        <v>5973.3</v>
      </c>
      <c r="F319" s="81"/>
      <c r="G319" s="48">
        <v>1110.4</v>
      </c>
      <c r="H319" s="81"/>
      <c r="I319" s="117"/>
    </row>
    <row r="320" spans="1:9" s="1" customFormat="1" ht="30" customHeight="1">
      <c r="A320" s="44" t="s">
        <v>262</v>
      </c>
      <c r="B320" s="45" t="s">
        <v>80</v>
      </c>
      <c r="C320" s="46" t="s">
        <v>261</v>
      </c>
      <c r="D320" s="46"/>
      <c r="E320" s="51">
        <f>E321</f>
        <v>278.7</v>
      </c>
      <c r="F320" s="92"/>
      <c r="G320" s="51">
        <f>G321</f>
        <v>178.6</v>
      </c>
      <c r="H320" s="92"/>
      <c r="I320" s="117"/>
    </row>
    <row r="321" spans="1:9" s="1" customFormat="1" ht="24.75" customHeight="1">
      <c r="A321" s="44" t="s">
        <v>175</v>
      </c>
      <c r="B321" s="45" t="s">
        <v>80</v>
      </c>
      <c r="C321" s="46" t="s">
        <v>261</v>
      </c>
      <c r="D321" s="46" t="s">
        <v>174</v>
      </c>
      <c r="E321" s="51">
        <f>E322</f>
        <v>278.7</v>
      </c>
      <c r="F321" s="92"/>
      <c r="G321" s="51">
        <f>G322</f>
        <v>178.6</v>
      </c>
      <c r="H321" s="92"/>
      <c r="I321" s="117"/>
    </row>
    <row r="322" spans="1:9" s="1" customFormat="1" ht="33.75" customHeight="1">
      <c r="A322" s="56" t="s">
        <v>177</v>
      </c>
      <c r="B322" s="45" t="s">
        <v>80</v>
      </c>
      <c r="C322" s="46" t="s">
        <v>261</v>
      </c>
      <c r="D322" s="45" t="s">
        <v>176</v>
      </c>
      <c r="E322" s="48">
        <f>278.7</f>
        <v>278.7</v>
      </c>
      <c r="F322" s="81"/>
      <c r="G322" s="48">
        <v>178.6</v>
      </c>
      <c r="H322" s="81"/>
      <c r="I322" s="117"/>
    </row>
    <row r="323" spans="1:9" s="5" customFormat="1" ht="19.5" customHeight="1">
      <c r="A323" s="19" t="s">
        <v>141</v>
      </c>
      <c r="B323" s="17" t="s">
        <v>142</v>
      </c>
      <c r="C323" s="17"/>
      <c r="D323" s="17"/>
      <c r="E323" s="18">
        <f aca="true" t="shared" si="8" ref="E323:G328">E324</f>
        <v>200</v>
      </c>
      <c r="F323" s="18"/>
      <c r="G323" s="18">
        <f t="shared" si="8"/>
        <v>0</v>
      </c>
      <c r="H323" s="18"/>
      <c r="I323" s="24">
        <f>G323/E323*100</f>
        <v>0</v>
      </c>
    </row>
    <row r="324" spans="1:9" s="1" customFormat="1" ht="18.75" customHeight="1">
      <c r="A324" s="57" t="s">
        <v>108</v>
      </c>
      <c r="B324" s="61" t="s">
        <v>149</v>
      </c>
      <c r="C324" s="61"/>
      <c r="D324" s="61"/>
      <c r="E324" s="11">
        <f t="shared" si="8"/>
        <v>200</v>
      </c>
      <c r="F324" s="11"/>
      <c r="G324" s="11">
        <f t="shared" si="8"/>
        <v>0</v>
      </c>
      <c r="H324" s="11"/>
      <c r="I324" s="117"/>
    </row>
    <row r="325" spans="1:9" s="1" customFormat="1" ht="30" customHeight="1">
      <c r="A325" s="34" t="s">
        <v>251</v>
      </c>
      <c r="B325" s="37" t="s">
        <v>149</v>
      </c>
      <c r="C325" s="36" t="s">
        <v>21</v>
      </c>
      <c r="D325" s="37"/>
      <c r="E325" s="38">
        <f t="shared" si="8"/>
        <v>200</v>
      </c>
      <c r="F325" s="11"/>
      <c r="G325" s="38">
        <f t="shared" si="8"/>
        <v>0</v>
      </c>
      <c r="H325" s="11"/>
      <c r="I325" s="117"/>
    </row>
    <row r="326" spans="1:9" s="1" customFormat="1" ht="20.25" customHeight="1">
      <c r="A326" s="39" t="s">
        <v>42</v>
      </c>
      <c r="B326" s="37" t="s">
        <v>149</v>
      </c>
      <c r="C326" s="37" t="s">
        <v>22</v>
      </c>
      <c r="D326" s="37"/>
      <c r="E326" s="38">
        <f t="shared" si="8"/>
        <v>200</v>
      </c>
      <c r="F326" s="11"/>
      <c r="G326" s="38">
        <f t="shared" si="8"/>
        <v>0</v>
      </c>
      <c r="H326" s="11"/>
      <c r="I326" s="117"/>
    </row>
    <row r="327" spans="1:9" s="1" customFormat="1" ht="27.75">
      <c r="A327" s="39" t="s">
        <v>143</v>
      </c>
      <c r="B327" s="37" t="s">
        <v>149</v>
      </c>
      <c r="C327" s="37" t="s">
        <v>434</v>
      </c>
      <c r="D327" s="37"/>
      <c r="E327" s="38">
        <f t="shared" si="8"/>
        <v>200</v>
      </c>
      <c r="F327" s="38"/>
      <c r="G327" s="38">
        <f t="shared" si="8"/>
        <v>0</v>
      </c>
      <c r="H327" s="38"/>
      <c r="I327" s="117"/>
    </row>
    <row r="328" spans="1:9" s="1" customFormat="1" ht="19.5" customHeight="1">
      <c r="A328" s="44" t="s">
        <v>175</v>
      </c>
      <c r="B328" s="37" t="s">
        <v>149</v>
      </c>
      <c r="C328" s="37" t="str">
        <f>$C$327</f>
        <v>12 5 00 01030</v>
      </c>
      <c r="D328" s="37" t="s">
        <v>174</v>
      </c>
      <c r="E328" s="38">
        <f t="shared" si="8"/>
        <v>200</v>
      </c>
      <c r="F328" s="38"/>
      <c r="G328" s="38">
        <f t="shared" si="8"/>
        <v>0</v>
      </c>
      <c r="H328" s="38"/>
      <c r="I328" s="117"/>
    </row>
    <row r="329" spans="1:9" s="1" customFormat="1" ht="31.5" customHeight="1">
      <c r="A329" s="44" t="s">
        <v>177</v>
      </c>
      <c r="B329" s="37" t="s">
        <v>149</v>
      </c>
      <c r="C329" s="37" t="str">
        <f>$C$327</f>
        <v>12 5 00 01030</v>
      </c>
      <c r="D329" s="37" t="s">
        <v>176</v>
      </c>
      <c r="E329" s="38">
        <f>200</f>
        <v>200</v>
      </c>
      <c r="F329" s="38"/>
      <c r="G329" s="38">
        <v>0</v>
      </c>
      <c r="H329" s="38"/>
      <c r="I329" s="117"/>
    </row>
    <row r="330" spans="1:9" s="5" customFormat="1" ht="32.25" customHeight="1">
      <c r="A330" s="20" t="s">
        <v>114</v>
      </c>
      <c r="B330" s="17" t="s">
        <v>115</v>
      </c>
      <c r="C330" s="17"/>
      <c r="D330" s="17"/>
      <c r="E330" s="18">
        <f>E331+E350</f>
        <v>38246.7</v>
      </c>
      <c r="F330" s="18">
        <f>F331</f>
        <v>0</v>
      </c>
      <c r="G330" s="18">
        <f>G331+G350</f>
        <v>13433.1</v>
      </c>
      <c r="H330" s="18">
        <f>H331</f>
        <v>0</v>
      </c>
      <c r="I330" s="24">
        <f>G330/E330*100</f>
        <v>35.12224584081765</v>
      </c>
    </row>
    <row r="331" spans="1:9" s="1" customFormat="1" ht="40.5">
      <c r="A331" s="57" t="s">
        <v>65</v>
      </c>
      <c r="B331" s="61" t="s">
        <v>116</v>
      </c>
      <c r="C331" s="61"/>
      <c r="D331" s="63"/>
      <c r="E331" s="9">
        <f>E332</f>
        <v>29531.7</v>
      </c>
      <c r="F331" s="9"/>
      <c r="G331" s="9">
        <f>G332</f>
        <v>12718.1</v>
      </c>
      <c r="H331" s="9"/>
      <c r="I331" s="117"/>
    </row>
    <row r="332" spans="1:9" s="1" customFormat="1" ht="36" customHeight="1">
      <c r="A332" s="58" t="s">
        <v>277</v>
      </c>
      <c r="B332" s="37" t="s">
        <v>116</v>
      </c>
      <c r="C332" s="45" t="s">
        <v>435</v>
      </c>
      <c r="D332" s="35"/>
      <c r="E332" s="38">
        <f>E333+E347+E344</f>
        <v>29531.7</v>
      </c>
      <c r="F332" s="37"/>
      <c r="G332" s="38">
        <f>G333+G347+G344</f>
        <v>12718.1</v>
      </c>
      <c r="H332" s="37"/>
      <c r="I332" s="117"/>
    </row>
    <row r="333" spans="1:9" s="1" customFormat="1" ht="48" customHeight="1">
      <c r="A333" s="58" t="s">
        <v>1</v>
      </c>
      <c r="B333" s="37" t="s">
        <v>116</v>
      </c>
      <c r="C333" s="46" t="s">
        <v>437</v>
      </c>
      <c r="D333" s="36"/>
      <c r="E333" s="55">
        <f>E337+E334</f>
        <v>28651.7</v>
      </c>
      <c r="F333" s="37"/>
      <c r="G333" s="55">
        <f>G337+G334</f>
        <v>12459.2</v>
      </c>
      <c r="H333" s="37"/>
      <c r="I333" s="117"/>
    </row>
    <row r="334" spans="1:9" s="1" customFormat="1" ht="45.75" customHeight="1">
      <c r="A334" s="58" t="s">
        <v>449</v>
      </c>
      <c r="B334" s="37" t="s">
        <v>116</v>
      </c>
      <c r="C334" s="46" t="s">
        <v>450</v>
      </c>
      <c r="D334" s="36"/>
      <c r="E334" s="38">
        <f>E335</f>
        <v>1000</v>
      </c>
      <c r="F334" s="37"/>
      <c r="G334" s="38">
        <f>G335</f>
        <v>523.1</v>
      </c>
      <c r="H334" s="37"/>
      <c r="I334" s="117"/>
    </row>
    <row r="335" spans="1:9" s="1" customFormat="1" ht="27" customHeight="1">
      <c r="A335" s="44" t="s">
        <v>175</v>
      </c>
      <c r="B335" s="37" t="s">
        <v>116</v>
      </c>
      <c r="C335" s="46" t="s">
        <v>450</v>
      </c>
      <c r="D335" s="36" t="s">
        <v>174</v>
      </c>
      <c r="E335" s="55">
        <f>E336</f>
        <v>1000</v>
      </c>
      <c r="F335" s="37"/>
      <c r="G335" s="55">
        <f>G336</f>
        <v>523.1</v>
      </c>
      <c r="H335" s="37"/>
      <c r="I335" s="117"/>
    </row>
    <row r="336" spans="1:9" s="1" customFormat="1" ht="33" customHeight="1">
      <c r="A336" s="44" t="s">
        <v>177</v>
      </c>
      <c r="B336" s="37" t="s">
        <v>116</v>
      </c>
      <c r="C336" s="46" t="s">
        <v>450</v>
      </c>
      <c r="D336" s="36" t="s">
        <v>176</v>
      </c>
      <c r="E336" s="55">
        <v>1000</v>
      </c>
      <c r="F336" s="37"/>
      <c r="G336" s="55">
        <v>523.1</v>
      </c>
      <c r="H336" s="37"/>
      <c r="I336" s="117"/>
    </row>
    <row r="337" spans="1:9" s="1" customFormat="1" ht="29.25" customHeight="1">
      <c r="A337" s="53" t="s">
        <v>227</v>
      </c>
      <c r="B337" s="37" t="s">
        <v>116</v>
      </c>
      <c r="C337" s="46" t="s">
        <v>228</v>
      </c>
      <c r="D337" s="36"/>
      <c r="E337" s="55">
        <f>E338+E340+E342</f>
        <v>27651.7</v>
      </c>
      <c r="F337" s="37"/>
      <c r="G337" s="55">
        <f>G338+G340+G342</f>
        <v>11936.1</v>
      </c>
      <c r="H337" s="37"/>
      <c r="I337" s="117"/>
    </row>
    <row r="338" spans="1:9" s="1" customFormat="1" ht="63.75" customHeight="1">
      <c r="A338" s="54" t="s">
        <v>344</v>
      </c>
      <c r="B338" s="37" t="s">
        <v>116</v>
      </c>
      <c r="C338" s="46" t="s">
        <v>228</v>
      </c>
      <c r="D338" s="36" t="s">
        <v>180</v>
      </c>
      <c r="E338" s="55">
        <f>E339</f>
        <v>26053</v>
      </c>
      <c r="F338" s="37"/>
      <c r="G338" s="55">
        <f>G339</f>
        <v>11333</v>
      </c>
      <c r="H338" s="37"/>
      <c r="I338" s="117"/>
    </row>
    <row r="339" spans="1:9" s="1" customFormat="1" ht="24.75" customHeight="1">
      <c r="A339" s="54" t="s">
        <v>346</v>
      </c>
      <c r="B339" s="37" t="s">
        <v>116</v>
      </c>
      <c r="C339" s="46" t="s">
        <v>228</v>
      </c>
      <c r="D339" s="36" t="s">
        <v>345</v>
      </c>
      <c r="E339" s="55">
        <f>24053+1000+1000</f>
        <v>26053</v>
      </c>
      <c r="F339" s="37"/>
      <c r="G339" s="55">
        <v>11333</v>
      </c>
      <c r="H339" s="37"/>
      <c r="I339" s="117"/>
    </row>
    <row r="340" spans="1:9" s="1" customFormat="1" ht="20.25" customHeight="1">
      <c r="A340" s="44" t="s">
        <v>175</v>
      </c>
      <c r="B340" s="37" t="s">
        <v>116</v>
      </c>
      <c r="C340" s="46" t="s">
        <v>228</v>
      </c>
      <c r="D340" s="36" t="s">
        <v>174</v>
      </c>
      <c r="E340" s="55">
        <f>E341</f>
        <v>1343</v>
      </c>
      <c r="F340" s="37"/>
      <c r="G340" s="55">
        <f>G341</f>
        <v>553.6</v>
      </c>
      <c r="H340" s="37"/>
      <c r="I340" s="117"/>
    </row>
    <row r="341" spans="1:9" s="1" customFormat="1" ht="36" customHeight="1">
      <c r="A341" s="44" t="s">
        <v>177</v>
      </c>
      <c r="B341" s="37" t="s">
        <v>116</v>
      </c>
      <c r="C341" s="46" t="s">
        <v>228</v>
      </c>
      <c r="D341" s="36" t="s">
        <v>176</v>
      </c>
      <c r="E341" s="55">
        <v>1343</v>
      </c>
      <c r="F341" s="37"/>
      <c r="G341" s="55">
        <v>553.6</v>
      </c>
      <c r="H341" s="37"/>
      <c r="I341" s="117"/>
    </row>
    <row r="342" spans="1:9" s="1" customFormat="1" ht="29.25" customHeight="1">
      <c r="A342" s="44" t="s">
        <v>179</v>
      </c>
      <c r="B342" s="37" t="s">
        <v>116</v>
      </c>
      <c r="C342" s="46" t="s">
        <v>228</v>
      </c>
      <c r="D342" s="36" t="s">
        <v>178</v>
      </c>
      <c r="E342" s="55">
        <f>E343</f>
        <v>255.70000000000005</v>
      </c>
      <c r="F342" s="37"/>
      <c r="G342" s="55">
        <f>G343</f>
        <v>49.5</v>
      </c>
      <c r="H342" s="37"/>
      <c r="I342" s="117"/>
    </row>
    <row r="343" spans="1:9" s="1" customFormat="1" ht="29.25" customHeight="1">
      <c r="A343" s="56" t="s">
        <v>348</v>
      </c>
      <c r="B343" s="37" t="s">
        <v>116</v>
      </c>
      <c r="C343" s="45" t="s">
        <v>228</v>
      </c>
      <c r="D343" s="35" t="s">
        <v>347</v>
      </c>
      <c r="E343" s="38">
        <f>1255.7-1000</f>
        <v>255.70000000000005</v>
      </c>
      <c r="F343" s="37"/>
      <c r="G343" s="38">
        <v>49.5</v>
      </c>
      <c r="H343" s="37"/>
      <c r="I343" s="117"/>
    </row>
    <row r="344" spans="1:9" s="1" customFormat="1" ht="34.5" customHeight="1">
      <c r="A344" s="34" t="s">
        <v>2</v>
      </c>
      <c r="B344" s="37" t="s">
        <v>116</v>
      </c>
      <c r="C344" s="46" t="s">
        <v>206</v>
      </c>
      <c r="D344" s="36"/>
      <c r="E344" s="38">
        <f>E345</f>
        <v>380</v>
      </c>
      <c r="F344" s="37"/>
      <c r="G344" s="38">
        <f>G345</f>
        <v>227.1</v>
      </c>
      <c r="H344" s="37"/>
      <c r="I344" s="117"/>
    </row>
    <row r="345" spans="1:9" s="1" customFormat="1" ht="29.25" customHeight="1">
      <c r="A345" s="44" t="s">
        <v>175</v>
      </c>
      <c r="B345" s="37" t="s">
        <v>116</v>
      </c>
      <c r="C345" s="46" t="s">
        <v>207</v>
      </c>
      <c r="D345" s="36" t="s">
        <v>174</v>
      </c>
      <c r="E345" s="55">
        <f>E346</f>
        <v>380</v>
      </c>
      <c r="F345" s="37"/>
      <c r="G345" s="55">
        <f>G346</f>
        <v>227.1</v>
      </c>
      <c r="H345" s="37"/>
      <c r="I345" s="117"/>
    </row>
    <row r="346" spans="1:9" s="1" customFormat="1" ht="33.75" customHeight="1">
      <c r="A346" s="44" t="s">
        <v>177</v>
      </c>
      <c r="B346" s="37" t="s">
        <v>116</v>
      </c>
      <c r="C346" s="46" t="s">
        <v>207</v>
      </c>
      <c r="D346" s="36" t="s">
        <v>176</v>
      </c>
      <c r="E346" s="55">
        <f>380</f>
        <v>380</v>
      </c>
      <c r="F346" s="37"/>
      <c r="G346" s="55">
        <v>227.1</v>
      </c>
      <c r="H346" s="37"/>
      <c r="I346" s="117"/>
    </row>
    <row r="347" spans="1:9" s="1" customFormat="1" ht="34.5" customHeight="1">
      <c r="A347" s="34" t="s">
        <v>44</v>
      </c>
      <c r="B347" s="37" t="s">
        <v>116</v>
      </c>
      <c r="C347" s="46" t="s">
        <v>225</v>
      </c>
      <c r="D347" s="36"/>
      <c r="E347" s="55">
        <f>E348</f>
        <v>500</v>
      </c>
      <c r="F347" s="37"/>
      <c r="G347" s="55">
        <f>G348</f>
        <v>31.8</v>
      </c>
      <c r="H347" s="37"/>
      <c r="I347" s="117"/>
    </row>
    <row r="348" spans="1:9" s="1" customFormat="1" ht="20.25" customHeight="1">
      <c r="A348" s="44" t="s">
        <v>175</v>
      </c>
      <c r="B348" s="37" t="s">
        <v>116</v>
      </c>
      <c r="C348" s="46" t="s">
        <v>226</v>
      </c>
      <c r="D348" s="36" t="s">
        <v>174</v>
      </c>
      <c r="E348" s="55">
        <f>E349</f>
        <v>500</v>
      </c>
      <c r="F348" s="37"/>
      <c r="G348" s="55">
        <f>G349</f>
        <v>31.8</v>
      </c>
      <c r="H348" s="37"/>
      <c r="I348" s="117"/>
    </row>
    <row r="349" spans="1:9" s="1" customFormat="1" ht="33" customHeight="1">
      <c r="A349" s="44" t="s">
        <v>177</v>
      </c>
      <c r="B349" s="37" t="s">
        <v>116</v>
      </c>
      <c r="C349" s="46" t="s">
        <v>226</v>
      </c>
      <c r="D349" s="36" t="s">
        <v>176</v>
      </c>
      <c r="E349" s="55">
        <f>500</f>
        <v>500</v>
      </c>
      <c r="F349" s="37"/>
      <c r="G349" s="55">
        <v>31.8</v>
      </c>
      <c r="H349" s="37"/>
      <c r="I349" s="117"/>
    </row>
    <row r="350" spans="1:9" s="1" customFormat="1" ht="33" customHeight="1">
      <c r="A350" s="106" t="s">
        <v>683</v>
      </c>
      <c r="B350" s="107" t="s">
        <v>684</v>
      </c>
      <c r="C350" s="108"/>
      <c r="D350" s="109"/>
      <c r="E350" s="110">
        <f>E351+E354</f>
        <v>8715</v>
      </c>
      <c r="F350" s="110">
        <f>F354</f>
        <v>0</v>
      </c>
      <c r="G350" s="110">
        <f>G351+G354</f>
        <v>715</v>
      </c>
      <c r="H350" s="110">
        <f>H354</f>
        <v>0</v>
      </c>
      <c r="I350" s="117"/>
    </row>
    <row r="351" spans="1:9" s="1" customFormat="1" ht="33" customHeight="1">
      <c r="A351" s="58" t="s">
        <v>224</v>
      </c>
      <c r="B351" s="37" t="s">
        <v>684</v>
      </c>
      <c r="C351" s="45" t="s">
        <v>436</v>
      </c>
      <c r="D351" s="35"/>
      <c r="E351" s="38">
        <f>E352</f>
        <v>8515</v>
      </c>
      <c r="F351" s="37"/>
      <c r="G351" s="38">
        <f>G352</f>
        <v>715</v>
      </c>
      <c r="H351" s="37"/>
      <c r="I351" s="117"/>
    </row>
    <row r="352" spans="1:9" s="1" customFormat="1" ht="21.75" customHeight="1">
      <c r="A352" s="44" t="s">
        <v>175</v>
      </c>
      <c r="B352" s="37" t="s">
        <v>684</v>
      </c>
      <c r="C352" s="45" t="s">
        <v>204</v>
      </c>
      <c r="D352" s="36" t="s">
        <v>174</v>
      </c>
      <c r="E352" s="55">
        <f>E353</f>
        <v>8515</v>
      </c>
      <c r="F352" s="37"/>
      <c r="G352" s="55">
        <f>G353</f>
        <v>715</v>
      </c>
      <c r="H352" s="37"/>
      <c r="I352" s="117"/>
    </row>
    <row r="353" spans="1:9" s="1" customFormat="1" ht="33" customHeight="1">
      <c r="A353" s="44" t="s">
        <v>177</v>
      </c>
      <c r="B353" s="37" t="s">
        <v>684</v>
      </c>
      <c r="C353" s="45" t="s">
        <v>204</v>
      </c>
      <c r="D353" s="36" t="s">
        <v>176</v>
      </c>
      <c r="E353" s="55">
        <f>4500-1000+715+300+4000</f>
        <v>8515</v>
      </c>
      <c r="F353" s="37"/>
      <c r="G353" s="55">
        <v>715</v>
      </c>
      <c r="H353" s="37"/>
      <c r="I353" s="117"/>
    </row>
    <row r="354" spans="1:9" s="1" customFormat="1" ht="23.25" customHeight="1">
      <c r="A354" s="34" t="s">
        <v>194</v>
      </c>
      <c r="B354" s="37" t="s">
        <v>684</v>
      </c>
      <c r="C354" s="46" t="s">
        <v>438</v>
      </c>
      <c r="D354" s="36"/>
      <c r="E354" s="55">
        <f>E355</f>
        <v>200</v>
      </c>
      <c r="F354" s="55">
        <f>F355</f>
        <v>0</v>
      </c>
      <c r="G354" s="55">
        <f>G355</f>
        <v>0</v>
      </c>
      <c r="H354" s="55">
        <f>H355</f>
        <v>0</v>
      </c>
      <c r="I354" s="117"/>
    </row>
    <row r="355" spans="1:9" s="1" customFormat="1" ht="21.75" customHeight="1">
      <c r="A355" s="44" t="s">
        <v>175</v>
      </c>
      <c r="B355" s="37" t="s">
        <v>684</v>
      </c>
      <c r="C355" s="46" t="s">
        <v>240</v>
      </c>
      <c r="D355" s="36" t="s">
        <v>174</v>
      </c>
      <c r="E355" s="55">
        <f>E356</f>
        <v>200</v>
      </c>
      <c r="F355" s="37"/>
      <c r="G355" s="55">
        <f>G356</f>
        <v>0</v>
      </c>
      <c r="H355" s="37"/>
      <c r="I355" s="117"/>
    </row>
    <row r="356" spans="1:9" s="1" customFormat="1" ht="30" customHeight="1">
      <c r="A356" s="44" t="s">
        <v>177</v>
      </c>
      <c r="B356" s="37" t="s">
        <v>684</v>
      </c>
      <c r="C356" s="46" t="s">
        <v>240</v>
      </c>
      <c r="D356" s="36" t="s">
        <v>176</v>
      </c>
      <c r="E356" s="55">
        <f>200</f>
        <v>200</v>
      </c>
      <c r="F356" s="37"/>
      <c r="G356" s="55">
        <v>0</v>
      </c>
      <c r="H356" s="37"/>
      <c r="I356" s="117"/>
    </row>
    <row r="357" spans="1:9" s="5" customFormat="1" ht="18" customHeight="1">
      <c r="A357" s="21" t="s">
        <v>117</v>
      </c>
      <c r="B357" s="17" t="s">
        <v>118</v>
      </c>
      <c r="C357" s="17"/>
      <c r="D357" s="17"/>
      <c r="E357" s="18">
        <f>E358+E407+E369</f>
        <v>355054.4</v>
      </c>
      <c r="F357" s="18">
        <f>F358+F407+F369</f>
        <v>24628</v>
      </c>
      <c r="G357" s="18">
        <f>G358+G407+G369</f>
        <v>118368.1</v>
      </c>
      <c r="H357" s="18">
        <f>H358+H407+H369</f>
        <v>2871.7</v>
      </c>
      <c r="I357" s="24">
        <f>G357/E357*100</f>
        <v>33.338018061457625</v>
      </c>
    </row>
    <row r="358" spans="1:9" s="1" customFormat="1" ht="17.25" customHeight="1">
      <c r="A358" s="57" t="s">
        <v>144</v>
      </c>
      <c r="B358" s="61" t="s">
        <v>145</v>
      </c>
      <c r="C358" s="61"/>
      <c r="D358" s="61"/>
      <c r="E358" s="11">
        <f>E359</f>
        <v>16793.9</v>
      </c>
      <c r="F358" s="11">
        <f>F361</f>
        <v>0</v>
      </c>
      <c r="G358" s="11">
        <f>G359</f>
        <v>8562.9</v>
      </c>
      <c r="H358" s="11">
        <f>H361</f>
        <v>0</v>
      </c>
      <c r="I358" s="117"/>
    </row>
    <row r="359" spans="1:9" s="1" customFormat="1" ht="52.5" customHeight="1">
      <c r="A359" s="56" t="s">
        <v>278</v>
      </c>
      <c r="B359" s="37" t="s">
        <v>145</v>
      </c>
      <c r="C359" s="37" t="s">
        <v>361</v>
      </c>
      <c r="D359" s="37"/>
      <c r="E359" s="38">
        <f>E360</f>
        <v>16793.9</v>
      </c>
      <c r="F359" s="38"/>
      <c r="G359" s="38">
        <f>G360</f>
        <v>8562.9</v>
      </c>
      <c r="H359" s="38"/>
      <c r="I359" s="117"/>
    </row>
    <row r="360" spans="1:9" s="1" customFormat="1" ht="46.5" customHeight="1">
      <c r="A360" s="56" t="s">
        <v>328</v>
      </c>
      <c r="B360" s="37" t="s">
        <v>145</v>
      </c>
      <c r="C360" s="37" t="s">
        <v>329</v>
      </c>
      <c r="D360" s="37"/>
      <c r="E360" s="38">
        <f>E361+E364</f>
        <v>16793.9</v>
      </c>
      <c r="F360" s="38"/>
      <c r="G360" s="38">
        <f>G361+G364</f>
        <v>8562.9</v>
      </c>
      <c r="H360" s="38"/>
      <c r="I360" s="117"/>
    </row>
    <row r="361" spans="1:9" s="1" customFormat="1" ht="63" customHeight="1">
      <c r="A361" s="49" t="s">
        <v>158</v>
      </c>
      <c r="B361" s="37" t="s">
        <v>145</v>
      </c>
      <c r="C361" s="37" t="s">
        <v>330</v>
      </c>
      <c r="D361" s="37"/>
      <c r="E361" s="38">
        <f>E362</f>
        <v>1010</v>
      </c>
      <c r="F361" s="38"/>
      <c r="G361" s="38">
        <f>G362</f>
        <v>670.9</v>
      </c>
      <c r="H361" s="38"/>
      <c r="I361" s="117"/>
    </row>
    <row r="362" spans="1:9" s="1" customFormat="1" ht="18.75" customHeight="1">
      <c r="A362" s="44" t="s">
        <v>175</v>
      </c>
      <c r="B362" s="8" t="s">
        <v>145</v>
      </c>
      <c r="C362" s="37" t="s">
        <v>330</v>
      </c>
      <c r="D362" s="8" t="s">
        <v>174</v>
      </c>
      <c r="E362" s="55">
        <f>E363</f>
        <v>1010</v>
      </c>
      <c r="F362" s="55"/>
      <c r="G362" s="55">
        <f>G363</f>
        <v>670.9</v>
      </c>
      <c r="H362" s="55"/>
      <c r="I362" s="117"/>
    </row>
    <row r="363" spans="1:9" s="1" customFormat="1" ht="31.5" customHeight="1">
      <c r="A363" s="56" t="s">
        <v>177</v>
      </c>
      <c r="B363" s="37" t="s">
        <v>145</v>
      </c>
      <c r="C363" s="37" t="s">
        <v>330</v>
      </c>
      <c r="D363" s="37" t="s">
        <v>176</v>
      </c>
      <c r="E363" s="38">
        <v>1010</v>
      </c>
      <c r="F363" s="38"/>
      <c r="G363" s="38">
        <v>670.9</v>
      </c>
      <c r="H363" s="38"/>
      <c r="I363" s="117"/>
    </row>
    <row r="364" spans="1:9" s="1" customFormat="1" ht="21.75" customHeight="1">
      <c r="A364" s="44" t="s">
        <v>218</v>
      </c>
      <c r="B364" s="8" t="s">
        <v>145</v>
      </c>
      <c r="C364" s="37" t="s">
        <v>331</v>
      </c>
      <c r="D364" s="8"/>
      <c r="E364" s="55">
        <f>E365+E367</f>
        <v>15783.9</v>
      </c>
      <c r="F364" s="55"/>
      <c r="G364" s="55">
        <f>G365+G367</f>
        <v>7892</v>
      </c>
      <c r="H364" s="55"/>
      <c r="I364" s="117"/>
    </row>
    <row r="365" spans="1:9" s="1" customFormat="1" ht="20.25" customHeight="1">
      <c r="A365" s="44" t="s">
        <v>175</v>
      </c>
      <c r="B365" s="8" t="s">
        <v>145</v>
      </c>
      <c r="C365" s="37" t="s">
        <v>331</v>
      </c>
      <c r="D365" s="8" t="s">
        <v>174</v>
      </c>
      <c r="E365" s="55">
        <f>E366</f>
        <v>15211.6</v>
      </c>
      <c r="F365" s="55"/>
      <c r="G365" s="55">
        <f>G366</f>
        <v>7605.8</v>
      </c>
      <c r="H365" s="55"/>
      <c r="I365" s="117"/>
    </row>
    <row r="366" spans="1:9" s="1" customFormat="1" ht="31.5" customHeight="1">
      <c r="A366" s="56" t="s">
        <v>177</v>
      </c>
      <c r="B366" s="8" t="s">
        <v>145</v>
      </c>
      <c r="C366" s="37" t="s">
        <v>331</v>
      </c>
      <c r="D366" s="8" t="s">
        <v>176</v>
      </c>
      <c r="E366" s="55">
        <v>15211.6</v>
      </c>
      <c r="F366" s="55"/>
      <c r="G366" s="55">
        <v>7605.8</v>
      </c>
      <c r="H366" s="55"/>
      <c r="I366" s="117"/>
    </row>
    <row r="367" spans="1:9" s="1" customFormat="1" ht="19.5" customHeight="1">
      <c r="A367" s="44" t="s">
        <v>179</v>
      </c>
      <c r="B367" s="8" t="s">
        <v>145</v>
      </c>
      <c r="C367" s="37" t="s">
        <v>331</v>
      </c>
      <c r="D367" s="8" t="s">
        <v>178</v>
      </c>
      <c r="E367" s="55">
        <f>E368</f>
        <v>572.3</v>
      </c>
      <c r="F367" s="55"/>
      <c r="G367" s="55">
        <f>G368</f>
        <v>286.2</v>
      </c>
      <c r="H367" s="55"/>
      <c r="I367" s="117"/>
    </row>
    <row r="368" spans="1:9" s="1" customFormat="1" ht="20.25" customHeight="1">
      <c r="A368" s="44" t="s">
        <v>357</v>
      </c>
      <c r="B368" s="8" t="s">
        <v>145</v>
      </c>
      <c r="C368" s="37" t="s">
        <v>331</v>
      </c>
      <c r="D368" s="8" t="s">
        <v>356</v>
      </c>
      <c r="E368" s="55">
        <v>572.3</v>
      </c>
      <c r="F368" s="55"/>
      <c r="G368" s="55">
        <v>286.2</v>
      </c>
      <c r="H368" s="55"/>
      <c r="I368" s="117"/>
    </row>
    <row r="369" spans="1:9" s="1" customFormat="1" ht="18.75" customHeight="1">
      <c r="A369" s="59" t="s">
        <v>14</v>
      </c>
      <c r="B369" s="60" t="s">
        <v>13</v>
      </c>
      <c r="C369" s="60"/>
      <c r="D369" s="60"/>
      <c r="E369" s="10">
        <f>E370+E396</f>
        <v>214639.3</v>
      </c>
      <c r="F369" s="10">
        <f>F370</f>
        <v>18816</v>
      </c>
      <c r="G369" s="10">
        <f>G370+G396</f>
        <v>77833.3</v>
      </c>
      <c r="H369" s="10">
        <f>H370</f>
        <v>0</v>
      </c>
      <c r="I369" s="117"/>
    </row>
    <row r="370" spans="1:9" s="1" customFormat="1" ht="53.25" customHeight="1">
      <c r="A370" s="56" t="s">
        <v>278</v>
      </c>
      <c r="B370" s="8" t="s">
        <v>13</v>
      </c>
      <c r="C370" s="8" t="s">
        <v>361</v>
      </c>
      <c r="D370" s="8"/>
      <c r="E370" s="55">
        <f>E371</f>
        <v>168007.1</v>
      </c>
      <c r="F370" s="55">
        <f>F371</f>
        <v>18816</v>
      </c>
      <c r="G370" s="55">
        <f>G371</f>
        <v>77833.3</v>
      </c>
      <c r="H370" s="55">
        <f>H371</f>
        <v>0</v>
      </c>
      <c r="I370" s="117"/>
    </row>
    <row r="371" spans="1:9" s="1" customFormat="1" ht="48" customHeight="1">
      <c r="A371" s="56" t="s">
        <v>596</v>
      </c>
      <c r="B371" s="8" t="s">
        <v>13</v>
      </c>
      <c r="C371" s="8" t="s">
        <v>332</v>
      </c>
      <c r="D371" s="8"/>
      <c r="E371" s="55">
        <f>E372+E378+E375+E393+E381+E384+E390+E387</f>
        <v>168007.1</v>
      </c>
      <c r="F371" s="55">
        <f>F372+F378+F375</f>
        <v>18816</v>
      </c>
      <c r="G371" s="55">
        <f>G372+G378+G375+G393+G381+G384+G390+G387</f>
        <v>77833.3</v>
      </c>
      <c r="H371" s="55">
        <f>H372+H378+H375</f>
        <v>0</v>
      </c>
      <c r="I371" s="117"/>
    </row>
    <row r="372" spans="1:9" s="1" customFormat="1" ht="33.75" customHeight="1">
      <c r="A372" s="39" t="s">
        <v>274</v>
      </c>
      <c r="B372" s="8" t="s">
        <v>13</v>
      </c>
      <c r="C372" s="37" t="s">
        <v>333</v>
      </c>
      <c r="D372" s="46"/>
      <c r="E372" s="51">
        <f>E373</f>
        <v>42789</v>
      </c>
      <c r="F372" s="55"/>
      <c r="G372" s="51">
        <f>G373</f>
        <v>32081.3</v>
      </c>
      <c r="H372" s="55"/>
      <c r="I372" s="117"/>
    </row>
    <row r="373" spans="1:9" s="1" customFormat="1" ht="33" customHeight="1">
      <c r="A373" s="34" t="s">
        <v>352</v>
      </c>
      <c r="B373" s="8" t="s">
        <v>13</v>
      </c>
      <c r="C373" s="37" t="s">
        <v>333</v>
      </c>
      <c r="D373" s="46" t="s">
        <v>351</v>
      </c>
      <c r="E373" s="51">
        <f>E374</f>
        <v>42789</v>
      </c>
      <c r="F373" s="55"/>
      <c r="G373" s="51">
        <f>G374</f>
        <v>32081.3</v>
      </c>
      <c r="H373" s="55"/>
      <c r="I373" s="117"/>
    </row>
    <row r="374" spans="1:9" s="1" customFormat="1" ht="24" customHeight="1">
      <c r="A374" s="40" t="s">
        <v>350</v>
      </c>
      <c r="B374" s="8" t="s">
        <v>13</v>
      </c>
      <c r="C374" s="37" t="s">
        <v>333</v>
      </c>
      <c r="D374" s="45" t="s">
        <v>349</v>
      </c>
      <c r="E374" s="48">
        <f>40992.2+1796.8</f>
        <v>42789</v>
      </c>
      <c r="F374" s="38"/>
      <c r="G374" s="48">
        <v>32081.3</v>
      </c>
      <c r="H374" s="38"/>
      <c r="I374" s="117"/>
    </row>
    <row r="375" spans="1:9" s="1" customFormat="1" ht="58.5" customHeight="1">
      <c r="A375" s="40" t="s">
        <v>663</v>
      </c>
      <c r="B375" s="8" t="s">
        <v>13</v>
      </c>
      <c r="C375" s="37" t="s">
        <v>480</v>
      </c>
      <c r="D375" s="45"/>
      <c r="E375" s="51">
        <f aca="true" t="shared" si="9" ref="E375:H376">E376</f>
        <v>18816</v>
      </c>
      <c r="F375" s="51">
        <f t="shared" si="9"/>
        <v>18816</v>
      </c>
      <c r="G375" s="51">
        <f t="shared" si="9"/>
        <v>0</v>
      </c>
      <c r="H375" s="51">
        <f t="shared" si="9"/>
        <v>0</v>
      </c>
      <c r="I375" s="117"/>
    </row>
    <row r="376" spans="1:9" s="1" customFormat="1" ht="31.5" customHeight="1">
      <c r="A376" s="34" t="s">
        <v>352</v>
      </c>
      <c r="B376" s="8" t="s">
        <v>13</v>
      </c>
      <c r="C376" s="37" t="s">
        <v>480</v>
      </c>
      <c r="D376" s="45" t="s">
        <v>351</v>
      </c>
      <c r="E376" s="51">
        <f t="shared" si="9"/>
        <v>18816</v>
      </c>
      <c r="F376" s="51">
        <f t="shared" si="9"/>
        <v>18816</v>
      </c>
      <c r="G376" s="51">
        <f t="shared" si="9"/>
        <v>0</v>
      </c>
      <c r="H376" s="51">
        <f t="shared" si="9"/>
        <v>0</v>
      </c>
      <c r="I376" s="117"/>
    </row>
    <row r="377" spans="1:9" s="1" customFormat="1" ht="24" customHeight="1">
      <c r="A377" s="40" t="s">
        <v>350</v>
      </c>
      <c r="B377" s="8" t="s">
        <v>13</v>
      </c>
      <c r="C377" s="37" t="s">
        <v>480</v>
      </c>
      <c r="D377" s="45" t="s">
        <v>349</v>
      </c>
      <c r="E377" s="48">
        <f>12268+6548</f>
        <v>18816</v>
      </c>
      <c r="F377" s="48">
        <f>E377</f>
        <v>18816</v>
      </c>
      <c r="G377" s="48">
        <v>0</v>
      </c>
      <c r="H377" s="48">
        <f>G377</f>
        <v>0</v>
      </c>
      <c r="I377" s="117"/>
    </row>
    <row r="378" spans="1:9" s="1" customFormat="1" ht="60" customHeight="1">
      <c r="A378" s="40" t="s">
        <v>664</v>
      </c>
      <c r="B378" s="37" t="s">
        <v>13</v>
      </c>
      <c r="C378" s="37" t="s">
        <v>334</v>
      </c>
      <c r="D378" s="37"/>
      <c r="E378" s="38">
        <f>E379</f>
        <v>10989</v>
      </c>
      <c r="F378" s="55"/>
      <c r="G378" s="38">
        <f>G379</f>
        <v>0</v>
      </c>
      <c r="H378" s="55"/>
      <c r="I378" s="117"/>
    </row>
    <row r="379" spans="1:9" s="1" customFormat="1" ht="36.75" customHeight="1">
      <c r="A379" s="34" t="s">
        <v>352</v>
      </c>
      <c r="B379" s="37" t="s">
        <v>13</v>
      </c>
      <c r="C379" s="37" t="s">
        <v>334</v>
      </c>
      <c r="D379" s="37" t="s">
        <v>351</v>
      </c>
      <c r="E379" s="38">
        <f>E380</f>
        <v>10989</v>
      </c>
      <c r="F379" s="55"/>
      <c r="G379" s="38">
        <f>G380</f>
        <v>0</v>
      </c>
      <c r="H379" s="55"/>
      <c r="I379" s="117"/>
    </row>
    <row r="380" spans="1:9" s="1" customFormat="1" ht="24" customHeight="1">
      <c r="A380" s="40" t="s">
        <v>350</v>
      </c>
      <c r="B380" s="37" t="s">
        <v>13</v>
      </c>
      <c r="C380" s="37" t="s">
        <v>334</v>
      </c>
      <c r="D380" s="37" t="s">
        <v>349</v>
      </c>
      <c r="E380" s="38">
        <v>10989</v>
      </c>
      <c r="F380" s="55"/>
      <c r="G380" s="38">
        <v>0</v>
      </c>
      <c r="H380" s="55"/>
      <c r="I380" s="117"/>
    </row>
    <row r="381" spans="1:9" s="1" customFormat="1" ht="93.75" customHeight="1">
      <c r="A381" s="40" t="s">
        <v>701</v>
      </c>
      <c r="B381" s="37" t="s">
        <v>13</v>
      </c>
      <c r="C381" s="37" t="s">
        <v>550</v>
      </c>
      <c r="D381" s="37"/>
      <c r="E381" s="38">
        <f>E382</f>
        <v>15157.8</v>
      </c>
      <c r="F381" s="55"/>
      <c r="G381" s="38">
        <f>G382</f>
        <v>6000</v>
      </c>
      <c r="H381" s="55"/>
      <c r="I381" s="117"/>
    </row>
    <row r="382" spans="1:9" s="1" customFormat="1" ht="30.75" customHeight="1">
      <c r="A382" s="58" t="s">
        <v>352</v>
      </c>
      <c r="B382" s="37" t="s">
        <v>13</v>
      </c>
      <c r="C382" s="37" t="s">
        <v>550</v>
      </c>
      <c r="D382" s="45" t="s">
        <v>351</v>
      </c>
      <c r="E382" s="48">
        <f>E383</f>
        <v>15157.8</v>
      </c>
      <c r="F382" s="55"/>
      <c r="G382" s="48">
        <f>G383</f>
        <v>6000</v>
      </c>
      <c r="H382" s="55"/>
      <c r="I382" s="117"/>
    </row>
    <row r="383" spans="1:9" s="1" customFormat="1" ht="24" customHeight="1">
      <c r="A383" s="56" t="s">
        <v>350</v>
      </c>
      <c r="B383" s="37" t="s">
        <v>13</v>
      </c>
      <c r="C383" s="37" t="s">
        <v>550</v>
      </c>
      <c r="D383" s="45" t="s">
        <v>349</v>
      </c>
      <c r="E383" s="48">
        <f>6879.4+7948.4+330</f>
        <v>15157.8</v>
      </c>
      <c r="F383" s="55"/>
      <c r="G383" s="48">
        <v>6000</v>
      </c>
      <c r="H383" s="55"/>
      <c r="I383" s="117"/>
    </row>
    <row r="384" spans="1:9" s="1" customFormat="1" ht="109.5" customHeight="1">
      <c r="A384" s="56" t="s">
        <v>698</v>
      </c>
      <c r="B384" s="37" t="s">
        <v>13</v>
      </c>
      <c r="C384" s="37" t="s">
        <v>551</v>
      </c>
      <c r="D384" s="37"/>
      <c r="E384" s="38">
        <f>E385</f>
        <v>431.2000000000007</v>
      </c>
      <c r="F384" s="55"/>
      <c r="G384" s="38">
        <f>G385</f>
        <v>0</v>
      </c>
      <c r="H384" s="55"/>
      <c r="I384" s="117"/>
    </row>
    <row r="385" spans="1:9" s="1" customFormat="1" ht="31.5" customHeight="1">
      <c r="A385" s="58" t="s">
        <v>352</v>
      </c>
      <c r="B385" s="37" t="s">
        <v>13</v>
      </c>
      <c r="C385" s="37" t="s">
        <v>551</v>
      </c>
      <c r="D385" s="37" t="s">
        <v>351</v>
      </c>
      <c r="E385" s="38">
        <f>E386</f>
        <v>431.2000000000007</v>
      </c>
      <c r="F385" s="55"/>
      <c r="G385" s="38">
        <f>G386</f>
        <v>0</v>
      </c>
      <c r="H385" s="55"/>
      <c r="I385" s="117"/>
    </row>
    <row r="386" spans="1:9" s="1" customFormat="1" ht="24" customHeight="1">
      <c r="A386" s="56" t="s">
        <v>350</v>
      </c>
      <c r="B386" s="37" t="s">
        <v>13</v>
      </c>
      <c r="C386" s="37" t="s">
        <v>551</v>
      </c>
      <c r="D386" s="37" t="s">
        <v>349</v>
      </c>
      <c r="E386" s="38">
        <f>8379.6-7948.4</f>
        <v>431.2000000000007</v>
      </c>
      <c r="F386" s="55"/>
      <c r="G386" s="38">
        <v>0</v>
      </c>
      <c r="H386" s="55"/>
      <c r="I386" s="117"/>
    </row>
    <row r="387" spans="1:9" s="1" customFormat="1" ht="106.5" customHeight="1">
      <c r="A387" s="56" t="s">
        <v>696</v>
      </c>
      <c r="B387" s="37" t="s">
        <v>13</v>
      </c>
      <c r="C387" s="37" t="s">
        <v>629</v>
      </c>
      <c r="D387" s="37"/>
      <c r="E387" s="38">
        <f>E388</f>
        <v>6794</v>
      </c>
      <c r="F387" s="55"/>
      <c r="G387" s="38">
        <f>G388</f>
        <v>0</v>
      </c>
      <c r="H387" s="55"/>
      <c r="I387" s="117"/>
    </row>
    <row r="388" spans="1:9" s="1" customFormat="1" ht="31.5" customHeight="1">
      <c r="A388" s="58" t="s">
        <v>352</v>
      </c>
      <c r="B388" s="37" t="s">
        <v>13</v>
      </c>
      <c r="C388" s="37" t="s">
        <v>629</v>
      </c>
      <c r="D388" s="37" t="s">
        <v>351</v>
      </c>
      <c r="E388" s="38">
        <f>E389</f>
        <v>6794</v>
      </c>
      <c r="F388" s="55"/>
      <c r="G388" s="38">
        <f>G389</f>
        <v>0</v>
      </c>
      <c r="H388" s="55"/>
      <c r="I388" s="117"/>
    </row>
    <row r="389" spans="1:9" s="1" customFormat="1" ht="24" customHeight="1">
      <c r="A389" s="56" t="s">
        <v>350</v>
      </c>
      <c r="B389" s="37" t="s">
        <v>13</v>
      </c>
      <c r="C389" s="37" t="s">
        <v>629</v>
      </c>
      <c r="D389" s="37" t="s">
        <v>349</v>
      </c>
      <c r="E389" s="38">
        <f>17682-10888</f>
        <v>6794</v>
      </c>
      <c r="F389" s="55"/>
      <c r="G389" s="38">
        <v>0</v>
      </c>
      <c r="H389" s="55"/>
      <c r="I389" s="117"/>
    </row>
    <row r="390" spans="1:9" s="1" customFormat="1" ht="60.75" customHeight="1">
      <c r="A390" s="40" t="s">
        <v>699</v>
      </c>
      <c r="B390" s="37" t="s">
        <v>13</v>
      </c>
      <c r="C390" s="37" t="s">
        <v>552</v>
      </c>
      <c r="D390" s="37"/>
      <c r="E390" s="38">
        <f>E391</f>
        <v>58030.1</v>
      </c>
      <c r="F390" s="55"/>
      <c r="G390" s="38">
        <f>G391</f>
        <v>34800</v>
      </c>
      <c r="H390" s="55"/>
      <c r="I390" s="117"/>
    </row>
    <row r="391" spans="1:9" s="1" customFormat="1" ht="29.25" customHeight="1">
      <c r="A391" s="58" t="s">
        <v>352</v>
      </c>
      <c r="B391" s="37" t="s">
        <v>13</v>
      </c>
      <c r="C391" s="37" t="s">
        <v>552</v>
      </c>
      <c r="D391" s="45" t="s">
        <v>351</v>
      </c>
      <c r="E391" s="48">
        <f>E392</f>
        <v>58030.1</v>
      </c>
      <c r="F391" s="55"/>
      <c r="G391" s="48">
        <f>G392</f>
        <v>34800</v>
      </c>
      <c r="H391" s="55"/>
      <c r="I391" s="117"/>
    </row>
    <row r="392" spans="1:9" s="1" customFormat="1" ht="24" customHeight="1">
      <c r="A392" s="56" t="s">
        <v>350</v>
      </c>
      <c r="B392" s="37" t="s">
        <v>13</v>
      </c>
      <c r="C392" s="37" t="s">
        <v>552</v>
      </c>
      <c r="D392" s="45" t="s">
        <v>349</v>
      </c>
      <c r="E392" s="48">
        <v>58030.1</v>
      </c>
      <c r="F392" s="55"/>
      <c r="G392" s="48">
        <v>34800</v>
      </c>
      <c r="H392" s="55"/>
      <c r="I392" s="117"/>
    </row>
    <row r="393" spans="1:9" s="1" customFormat="1" ht="89.25" customHeight="1">
      <c r="A393" s="56" t="s">
        <v>549</v>
      </c>
      <c r="B393" s="37" t="s">
        <v>13</v>
      </c>
      <c r="C393" s="37" t="s">
        <v>481</v>
      </c>
      <c r="D393" s="45"/>
      <c r="E393" s="48">
        <f>E394</f>
        <v>15000</v>
      </c>
      <c r="F393" s="55"/>
      <c r="G393" s="48">
        <f>G394</f>
        <v>4952</v>
      </c>
      <c r="H393" s="55"/>
      <c r="I393" s="117"/>
    </row>
    <row r="394" spans="1:9" s="1" customFormat="1" ht="33" customHeight="1">
      <c r="A394" s="58" t="s">
        <v>352</v>
      </c>
      <c r="B394" s="37" t="s">
        <v>13</v>
      </c>
      <c r="C394" s="37" t="s">
        <v>481</v>
      </c>
      <c r="D394" s="45" t="s">
        <v>351</v>
      </c>
      <c r="E394" s="48">
        <f>E395</f>
        <v>15000</v>
      </c>
      <c r="F394" s="55"/>
      <c r="G394" s="48">
        <f>G395</f>
        <v>4952</v>
      </c>
      <c r="H394" s="55"/>
      <c r="I394" s="117"/>
    </row>
    <row r="395" spans="1:9" s="1" customFormat="1" ht="24" customHeight="1">
      <c r="A395" s="56" t="s">
        <v>350</v>
      </c>
      <c r="B395" s="37" t="s">
        <v>13</v>
      </c>
      <c r="C395" s="37" t="s">
        <v>481</v>
      </c>
      <c r="D395" s="45" t="s">
        <v>349</v>
      </c>
      <c r="E395" s="48">
        <f>18000-3000</f>
        <v>15000</v>
      </c>
      <c r="F395" s="55"/>
      <c r="G395" s="48">
        <v>4952</v>
      </c>
      <c r="H395" s="55"/>
      <c r="I395" s="117"/>
    </row>
    <row r="396" spans="1:9" s="1" customFormat="1" ht="33.75" customHeight="1">
      <c r="A396" s="44" t="s">
        <v>633</v>
      </c>
      <c r="B396" s="37" t="s">
        <v>13</v>
      </c>
      <c r="C396" s="8" t="s">
        <v>563</v>
      </c>
      <c r="D396" s="8"/>
      <c r="E396" s="51">
        <f>E397</f>
        <v>46632.2</v>
      </c>
      <c r="F396" s="55"/>
      <c r="G396" s="51">
        <f>G397</f>
        <v>0</v>
      </c>
      <c r="H396" s="55"/>
      <c r="I396" s="117"/>
    </row>
    <row r="397" spans="1:9" s="1" customFormat="1" ht="24" customHeight="1">
      <c r="A397" s="44" t="s">
        <v>606</v>
      </c>
      <c r="B397" s="37" t="s">
        <v>13</v>
      </c>
      <c r="C397" s="8" t="s">
        <v>607</v>
      </c>
      <c r="D397" s="8"/>
      <c r="E397" s="51">
        <f>E401+E398+E404</f>
        <v>46632.2</v>
      </c>
      <c r="F397" s="55"/>
      <c r="G397" s="51">
        <f>G401+G398+G404</f>
        <v>0</v>
      </c>
      <c r="H397" s="55"/>
      <c r="I397" s="117"/>
    </row>
    <row r="398" spans="1:9" s="1" customFormat="1" ht="136.5" customHeight="1">
      <c r="A398" s="56" t="s">
        <v>697</v>
      </c>
      <c r="B398" s="37" t="s">
        <v>13</v>
      </c>
      <c r="C398" s="8" t="s">
        <v>652</v>
      </c>
      <c r="D398" s="46"/>
      <c r="E398" s="48">
        <f>E399</f>
        <v>9486.399999999998</v>
      </c>
      <c r="F398" s="55"/>
      <c r="G398" s="48">
        <f>G399</f>
        <v>0</v>
      </c>
      <c r="H398" s="55"/>
      <c r="I398" s="117"/>
    </row>
    <row r="399" spans="1:9" s="1" customFormat="1" ht="33" customHeight="1">
      <c r="A399" s="58" t="s">
        <v>352</v>
      </c>
      <c r="B399" s="37" t="s">
        <v>13</v>
      </c>
      <c r="C399" s="8" t="s">
        <v>652</v>
      </c>
      <c r="D399" s="46" t="s">
        <v>351</v>
      </c>
      <c r="E399" s="48">
        <f>E400</f>
        <v>9486.399999999998</v>
      </c>
      <c r="F399" s="55"/>
      <c r="G399" s="48">
        <f>G400</f>
        <v>0</v>
      </c>
      <c r="H399" s="55"/>
      <c r="I399" s="117"/>
    </row>
    <row r="400" spans="1:9" s="1" customFormat="1" ht="24" customHeight="1">
      <c r="A400" s="56" t="s">
        <v>350</v>
      </c>
      <c r="B400" s="37" t="s">
        <v>13</v>
      </c>
      <c r="C400" s="8" t="s">
        <v>652</v>
      </c>
      <c r="D400" s="46" t="s">
        <v>349</v>
      </c>
      <c r="E400" s="48">
        <f>13269.3+1782.9-5565.8</f>
        <v>9486.399999999998</v>
      </c>
      <c r="F400" s="55"/>
      <c r="G400" s="48">
        <v>0</v>
      </c>
      <c r="H400" s="55"/>
      <c r="I400" s="117"/>
    </row>
    <row r="401" spans="1:9" s="1" customFormat="1" ht="93.75" customHeight="1">
      <c r="A401" s="40" t="s">
        <v>700</v>
      </c>
      <c r="B401" s="37" t="s">
        <v>13</v>
      </c>
      <c r="C401" s="8" t="s">
        <v>715</v>
      </c>
      <c r="D401" s="46"/>
      <c r="E401" s="48">
        <f>E402</f>
        <v>11131.6</v>
      </c>
      <c r="F401" s="55"/>
      <c r="G401" s="48">
        <f>G402</f>
        <v>0</v>
      </c>
      <c r="H401" s="55"/>
      <c r="I401" s="117"/>
    </row>
    <row r="402" spans="1:9" s="1" customFormat="1" ht="30" customHeight="1">
      <c r="A402" s="58" t="s">
        <v>352</v>
      </c>
      <c r="B402" s="37" t="s">
        <v>13</v>
      </c>
      <c r="C402" s="8" t="s">
        <v>715</v>
      </c>
      <c r="D402" s="46" t="s">
        <v>351</v>
      </c>
      <c r="E402" s="48">
        <f>E403</f>
        <v>11131.6</v>
      </c>
      <c r="F402" s="55"/>
      <c r="G402" s="48">
        <f>G403</f>
        <v>0</v>
      </c>
      <c r="H402" s="55"/>
      <c r="I402" s="117"/>
    </row>
    <row r="403" spans="1:9" s="1" customFormat="1" ht="24" customHeight="1">
      <c r="A403" s="56" t="s">
        <v>350</v>
      </c>
      <c r="B403" s="37" t="s">
        <v>13</v>
      </c>
      <c r="C403" s="8" t="s">
        <v>715</v>
      </c>
      <c r="D403" s="46" t="s">
        <v>349</v>
      </c>
      <c r="E403" s="48">
        <f>5565.8+5565.8</f>
        <v>11131.6</v>
      </c>
      <c r="F403" s="55"/>
      <c r="G403" s="48">
        <v>0</v>
      </c>
      <c r="H403" s="55"/>
      <c r="I403" s="117"/>
    </row>
    <row r="404" spans="1:9" s="1" customFormat="1" ht="92.25" customHeight="1">
      <c r="A404" s="56" t="s">
        <v>713</v>
      </c>
      <c r="B404" s="37" t="s">
        <v>13</v>
      </c>
      <c r="C404" s="8" t="s">
        <v>714</v>
      </c>
      <c r="D404" s="46"/>
      <c r="E404" s="48">
        <f>E405</f>
        <v>26014.2</v>
      </c>
      <c r="F404" s="55"/>
      <c r="G404" s="48">
        <f>G405</f>
        <v>0</v>
      </c>
      <c r="H404" s="55"/>
      <c r="I404" s="117"/>
    </row>
    <row r="405" spans="1:9" s="1" customFormat="1" ht="28.5" customHeight="1">
      <c r="A405" s="58" t="s">
        <v>352</v>
      </c>
      <c r="B405" s="37" t="s">
        <v>13</v>
      </c>
      <c r="C405" s="8" t="s">
        <v>714</v>
      </c>
      <c r="D405" s="46" t="s">
        <v>351</v>
      </c>
      <c r="E405" s="48">
        <f>E406</f>
        <v>26014.2</v>
      </c>
      <c r="F405" s="55"/>
      <c r="G405" s="48">
        <f>G406</f>
        <v>0</v>
      </c>
      <c r="H405" s="55"/>
      <c r="I405" s="117"/>
    </row>
    <row r="406" spans="1:9" s="1" customFormat="1" ht="24" customHeight="1">
      <c r="A406" s="56" t="s">
        <v>350</v>
      </c>
      <c r="B406" s="37" t="s">
        <v>13</v>
      </c>
      <c r="C406" s="8" t="s">
        <v>714</v>
      </c>
      <c r="D406" s="46" t="s">
        <v>349</v>
      </c>
      <c r="E406" s="48">
        <f>12034.2+13980</f>
        <v>26014.2</v>
      </c>
      <c r="F406" s="55"/>
      <c r="G406" s="48">
        <v>0</v>
      </c>
      <c r="H406" s="55"/>
      <c r="I406" s="117"/>
    </row>
    <row r="407" spans="1:9" s="1" customFormat="1" ht="18" customHeight="1">
      <c r="A407" s="47" t="s">
        <v>135</v>
      </c>
      <c r="B407" s="60" t="s">
        <v>150</v>
      </c>
      <c r="C407" s="60"/>
      <c r="D407" s="60"/>
      <c r="E407" s="10">
        <f>E412+E440+E454+E466+E408+E450</f>
        <v>123621.2</v>
      </c>
      <c r="F407" s="10">
        <f>F412+F440+F454</f>
        <v>5812</v>
      </c>
      <c r="G407" s="10">
        <f>G412+G440+G454+G466+G408+G450</f>
        <v>31971.900000000005</v>
      </c>
      <c r="H407" s="10">
        <f>H412+H440+H454</f>
        <v>2871.7</v>
      </c>
      <c r="I407" s="117"/>
    </row>
    <row r="408" spans="1:9" s="1" customFormat="1" ht="75" customHeight="1">
      <c r="A408" s="34" t="s">
        <v>279</v>
      </c>
      <c r="B408" s="37" t="s">
        <v>150</v>
      </c>
      <c r="C408" s="37" t="s">
        <v>37</v>
      </c>
      <c r="D408" s="60"/>
      <c r="E408" s="55">
        <f>E409</f>
        <v>300</v>
      </c>
      <c r="F408" s="10"/>
      <c r="G408" s="55">
        <f>G409</f>
        <v>114.2</v>
      </c>
      <c r="H408" s="10"/>
      <c r="I408" s="117"/>
    </row>
    <row r="409" spans="1:9" s="1" customFormat="1" ht="76.5" customHeight="1">
      <c r="A409" s="34" t="s">
        <v>659</v>
      </c>
      <c r="B409" s="37" t="s">
        <v>150</v>
      </c>
      <c r="C409" s="37" t="s">
        <v>38</v>
      </c>
      <c r="D409" s="60"/>
      <c r="E409" s="55">
        <f>E410</f>
        <v>300</v>
      </c>
      <c r="F409" s="10"/>
      <c r="G409" s="55">
        <f>G410</f>
        <v>114.2</v>
      </c>
      <c r="H409" s="10"/>
      <c r="I409" s="117"/>
    </row>
    <row r="410" spans="1:9" s="1" customFormat="1" ht="19.5" customHeight="1">
      <c r="A410" s="44" t="s">
        <v>175</v>
      </c>
      <c r="B410" s="8" t="s">
        <v>150</v>
      </c>
      <c r="C410" s="37" t="s">
        <v>38</v>
      </c>
      <c r="D410" s="8" t="s">
        <v>174</v>
      </c>
      <c r="E410" s="55">
        <f>E411</f>
        <v>300</v>
      </c>
      <c r="F410" s="55"/>
      <c r="G410" s="55">
        <f>G411</f>
        <v>114.2</v>
      </c>
      <c r="H410" s="55"/>
      <c r="I410" s="117"/>
    </row>
    <row r="411" spans="1:9" s="1" customFormat="1" ht="29.25" customHeight="1">
      <c r="A411" s="56" t="s">
        <v>177</v>
      </c>
      <c r="B411" s="37" t="s">
        <v>150</v>
      </c>
      <c r="C411" s="37" t="s">
        <v>38</v>
      </c>
      <c r="D411" s="37" t="s">
        <v>176</v>
      </c>
      <c r="E411" s="38">
        <f>300</f>
        <v>300</v>
      </c>
      <c r="F411" s="38"/>
      <c r="G411" s="38">
        <v>114.2</v>
      </c>
      <c r="H411" s="38"/>
      <c r="I411" s="117"/>
    </row>
    <row r="412" spans="1:9" s="1" customFormat="1" ht="46.5" customHeight="1">
      <c r="A412" s="44" t="s">
        <v>249</v>
      </c>
      <c r="B412" s="8" t="s">
        <v>150</v>
      </c>
      <c r="C412" s="46" t="s">
        <v>183</v>
      </c>
      <c r="D412" s="8"/>
      <c r="E412" s="55">
        <f>E413+E424+E421+E431+E434+E437+E427</f>
        <v>39735.799999999996</v>
      </c>
      <c r="F412" s="55"/>
      <c r="G412" s="55">
        <f>G413+G424+G421+G431+G434+G437+G427</f>
        <v>9312.7</v>
      </c>
      <c r="H412" s="55"/>
      <c r="I412" s="117"/>
    </row>
    <row r="413" spans="1:9" s="1" customFormat="1" ht="30" customHeight="1">
      <c r="A413" s="49" t="s">
        <v>353</v>
      </c>
      <c r="B413" s="37" t="s">
        <v>150</v>
      </c>
      <c r="C413" s="45" t="s">
        <v>184</v>
      </c>
      <c r="D413" s="37"/>
      <c r="E413" s="38">
        <f>E414</f>
        <v>17190.9</v>
      </c>
      <c r="F413" s="38"/>
      <c r="G413" s="38">
        <f>G414</f>
        <v>7332.900000000001</v>
      </c>
      <c r="H413" s="38"/>
      <c r="I413" s="117"/>
    </row>
    <row r="414" spans="1:9" s="1" customFormat="1" ht="32.25" customHeight="1">
      <c r="A414" s="53" t="s">
        <v>654</v>
      </c>
      <c r="B414" s="37" t="s">
        <v>150</v>
      </c>
      <c r="C414" s="45" t="s">
        <v>184</v>
      </c>
      <c r="D414" s="8"/>
      <c r="E414" s="38">
        <f>E416+E418+E420</f>
        <v>17190.9</v>
      </c>
      <c r="F414" s="55"/>
      <c r="G414" s="38">
        <f>G416+G418+G420</f>
        <v>7332.900000000001</v>
      </c>
      <c r="H414" s="55"/>
      <c r="I414" s="117"/>
    </row>
    <row r="415" spans="1:9" s="1" customFormat="1" ht="60.75" customHeight="1">
      <c r="A415" s="41" t="s">
        <v>344</v>
      </c>
      <c r="B415" s="8" t="s">
        <v>150</v>
      </c>
      <c r="C415" s="45" t="s">
        <v>184</v>
      </c>
      <c r="D415" s="8" t="s">
        <v>180</v>
      </c>
      <c r="E415" s="55">
        <f>E416</f>
        <v>16060.9</v>
      </c>
      <c r="F415" s="55"/>
      <c r="G415" s="55">
        <f>G416</f>
        <v>7037.8</v>
      </c>
      <c r="H415" s="55"/>
      <c r="I415" s="117"/>
    </row>
    <row r="416" spans="1:9" s="1" customFormat="1" ht="18" customHeight="1">
      <c r="A416" s="40" t="s">
        <v>346</v>
      </c>
      <c r="B416" s="37" t="s">
        <v>150</v>
      </c>
      <c r="C416" s="45" t="s">
        <v>184</v>
      </c>
      <c r="D416" s="37" t="s">
        <v>345</v>
      </c>
      <c r="E416" s="38">
        <f>10755.3+4330+400+575.6</f>
        <v>16060.9</v>
      </c>
      <c r="F416" s="38"/>
      <c r="G416" s="38">
        <v>7037.8</v>
      </c>
      <c r="H416" s="38"/>
      <c r="I416" s="117"/>
    </row>
    <row r="417" spans="1:9" s="1" customFormat="1" ht="18.75" customHeight="1">
      <c r="A417" s="44" t="s">
        <v>175</v>
      </c>
      <c r="B417" s="8" t="s">
        <v>150</v>
      </c>
      <c r="C417" s="45" t="s">
        <v>184</v>
      </c>
      <c r="D417" s="8" t="s">
        <v>174</v>
      </c>
      <c r="E417" s="55">
        <f>E418</f>
        <v>1104</v>
      </c>
      <c r="F417" s="55"/>
      <c r="G417" s="55">
        <f>G418</f>
        <v>295</v>
      </c>
      <c r="H417" s="55"/>
      <c r="I417" s="117"/>
    </row>
    <row r="418" spans="1:9" s="1" customFormat="1" ht="30" customHeight="1">
      <c r="A418" s="56" t="s">
        <v>177</v>
      </c>
      <c r="B418" s="37" t="s">
        <v>150</v>
      </c>
      <c r="C418" s="45" t="s">
        <v>184</v>
      </c>
      <c r="D418" s="37" t="s">
        <v>176</v>
      </c>
      <c r="E418" s="38">
        <f>1504-400</f>
        <v>1104</v>
      </c>
      <c r="F418" s="38"/>
      <c r="G418" s="38">
        <v>295</v>
      </c>
      <c r="H418" s="38"/>
      <c r="I418" s="117"/>
    </row>
    <row r="419" spans="1:9" s="1" customFormat="1" ht="19.5" customHeight="1">
      <c r="A419" s="44" t="s">
        <v>179</v>
      </c>
      <c r="B419" s="37" t="s">
        <v>150</v>
      </c>
      <c r="C419" s="45" t="s">
        <v>184</v>
      </c>
      <c r="D419" s="8" t="s">
        <v>178</v>
      </c>
      <c r="E419" s="55">
        <f>E420</f>
        <v>26</v>
      </c>
      <c r="F419" s="55"/>
      <c r="G419" s="55">
        <f>G420</f>
        <v>0.1</v>
      </c>
      <c r="H419" s="55"/>
      <c r="I419" s="117"/>
    </row>
    <row r="420" spans="1:9" s="1" customFormat="1" ht="19.5" customHeight="1">
      <c r="A420" s="56" t="s">
        <v>348</v>
      </c>
      <c r="B420" s="37" t="s">
        <v>150</v>
      </c>
      <c r="C420" s="45" t="s">
        <v>184</v>
      </c>
      <c r="D420" s="8" t="s">
        <v>347</v>
      </c>
      <c r="E420" s="55">
        <f>26</f>
        <v>26</v>
      </c>
      <c r="F420" s="55"/>
      <c r="G420" s="55">
        <v>0.1</v>
      </c>
      <c r="H420" s="55"/>
      <c r="I420" s="117"/>
    </row>
    <row r="421" spans="1:9" s="1" customFormat="1" ht="32.25" customHeight="1">
      <c r="A421" s="56" t="s">
        <v>213</v>
      </c>
      <c r="B421" s="37" t="s">
        <v>150</v>
      </c>
      <c r="C421" s="45" t="s">
        <v>214</v>
      </c>
      <c r="D421" s="37"/>
      <c r="E421" s="38">
        <f>E422</f>
        <v>790.2</v>
      </c>
      <c r="F421" s="55"/>
      <c r="G421" s="38">
        <f>G422</f>
        <v>268.6</v>
      </c>
      <c r="H421" s="55"/>
      <c r="I421" s="117"/>
    </row>
    <row r="422" spans="1:9" s="1" customFormat="1" ht="24.75" customHeight="1">
      <c r="A422" s="56" t="s">
        <v>175</v>
      </c>
      <c r="B422" s="37" t="s">
        <v>150</v>
      </c>
      <c r="C422" s="45" t="s">
        <v>214</v>
      </c>
      <c r="D422" s="37" t="s">
        <v>174</v>
      </c>
      <c r="E422" s="38">
        <f>E423</f>
        <v>790.2</v>
      </c>
      <c r="F422" s="55"/>
      <c r="G422" s="38">
        <f>G423</f>
        <v>268.6</v>
      </c>
      <c r="H422" s="55"/>
      <c r="I422" s="117"/>
    </row>
    <row r="423" spans="1:9" s="1" customFormat="1" ht="31.5" customHeight="1">
      <c r="A423" s="56" t="s">
        <v>177</v>
      </c>
      <c r="B423" s="37" t="s">
        <v>150</v>
      </c>
      <c r="C423" s="45" t="s">
        <v>214</v>
      </c>
      <c r="D423" s="37" t="s">
        <v>176</v>
      </c>
      <c r="E423" s="38">
        <f>790.2</f>
        <v>790.2</v>
      </c>
      <c r="F423" s="55"/>
      <c r="G423" s="38">
        <v>268.6</v>
      </c>
      <c r="H423" s="55"/>
      <c r="I423" s="117"/>
    </row>
    <row r="424" spans="1:9" s="1" customFormat="1" ht="30" customHeight="1">
      <c r="A424" s="56" t="s">
        <v>215</v>
      </c>
      <c r="B424" s="37" t="s">
        <v>150</v>
      </c>
      <c r="C424" s="45" t="s">
        <v>185</v>
      </c>
      <c r="D424" s="37"/>
      <c r="E424" s="38">
        <f>E425</f>
        <v>16000</v>
      </c>
      <c r="F424" s="55"/>
      <c r="G424" s="38">
        <f>G425</f>
        <v>0</v>
      </c>
      <c r="H424" s="55"/>
      <c r="I424" s="117"/>
    </row>
    <row r="425" spans="1:9" s="1" customFormat="1" ht="20.25" customHeight="1">
      <c r="A425" s="56" t="s">
        <v>179</v>
      </c>
      <c r="B425" s="37" t="s">
        <v>150</v>
      </c>
      <c r="C425" s="45" t="s">
        <v>185</v>
      </c>
      <c r="D425" s="37" t="s">
        <v>178</v>
      </c>
      <c r="E425" s="38">
        <f>E426</f>
        <v>16000</v>
      </c>
      <c r="F425" s="38"/>
      <c r="G425" s="38">
        <f>G426</f>
        <v>0</v>
      </c>
      <c r="H425" s="38"/>
      <c r="I425" s="117"/>
    </row>
    <row r="426" spans="1:9" s="1" customFormat="1" ht="48.75" customHeight="1">
      <c r="A426" s="40" t="s">
        <v>304</v>
      </c>
      <c r="B426" s="37" t="s">
        <v>150</v>
      </c>
      <c r="C426" s="45" t="s">
        <v>185</v>
      </c>
      <c r="D426" s="37" t="s">
        <v>51</v>
      </c>
      <c r="E426" s="38">
        <f>1000+15000</f>
        <v>16000</v>
      </c>
      <c r="F426" s="38"/>
      <c r="G426" s="38">
        <v>0</v>
      </c>
      <c r="H426" s="38"/>
      <c r="I426" s="117"/>
    </row>
    <row r="427" spans="1:9" s="1" customFormat="1" ht="63.75" customHeight="1">
      <c r="A427" s="40" t="s">
        <v>615</v>
      </c>
      <c r="B427" s="37" t="s">
        <v>150</v>
      </c>
      <c r="C427" s="45" t="s">
        <v>614</v>
      </c>
      <c r="D427" s="37"/>
      <c r="E427" s="38">
        <f>E428</f>
        <v>1499.7</v>
      </c>
      <c r="F427" s="38"/>
      <c r="G427" s="38">
        <f>G428</f>
        <v>0</v>
      </c>
      <c r="H427" s="38"/>
      <c r="I427" s="117"/>
    </row>
    <row r="428" spans="1:9" s="1" customFormat="1" ht="33" customHeight="1">
      <c r="A428" s="40" t="s">
        <v>616</v>
      </c>
      <c r="B428" s="37" t="s">
        <v>150</v>
      </c>
      <c r="C428" s="45" t="s">
        <v>614</v>
      </c>
      <c r="D428" s="37"/>
      <c r="E428" s="38">
        <f>E429</f>
        <v>1499.7</v>
      </c>
      <c r="F428" s="38"/>
      <c r="G428" s="38">
        <f>G429</f>
        <v>0</v>
      </c>
      <c r="H428" s="38"/>
      <c r="I428" s="117"/>
    </row>
    <row r="429" spans="1:9" s="1" customFormat="1" ht="30.75" customHeight="1">
      <c r="A429" s="58" t="s">
        <v>352</v>
      </c>
      <c r="B429" s="37" t="s">
        <v>150</v>
      </c>
      <c r="C429" s="45" t="s">
        <v>614</v>
      </c>
      <c r="D429" s="37" t="s">
        <v>351</v>
      </c>
      <c r="E429" s="38">
        <f>E430</f>
        <v>1499.7</v>
      </c>
      <c r="F429" s="38"/>
      <c r="G429" s="38">
        <f>G430</f>
        <v>0</v>
      </c>
      <c r="H429" s="38"/>
      <c r="I429" s="117"/>
    </row>
    <row r="430" spans="1:9" s="1" customFormat="1" ht="36" customHeight="1">
      <c r="A430" s="71" t="s">
        <v>50</v>
      </c>
      <c r="B430" s="37" t="s">
        <v>150</v>
      </c>
      <c r="C430" s="45" t="s">
        <v>614</v>
      </c>
      <c r="D430" s="37" t="s">
        <v>86</v>
      </c>
      <c r="E430" s="38">
        <f>1142+357.7</f>
        <v>1499.7</v>
      </c>
      <c r="F430" s="38"/>
      <c r="G430" s="38">
        <v>0</v>
      </c>
      <c r="H430" s="38"/>
      <c r="I430" s="117"/>
    </row>
    <row r="431" spans="1:9" s="1" customFormat="1" ht="45.75" customHeight="1">
      <c r="A431" s="56" t="s">
        <v>298</v>
      </c>
      <c r="B431" s="37" t="s">
        <v>150</v>
      </c>
      <c r="C431" s="45" t="s">
        <v>336</v>
      </c>
      <c r="D431" s="37"/>
      <c r="E431" s="38">
        <f>E432</f>
        <v>3203</v>
      </c>
      <c r="F431" s="38"/>
      <c r="G431" s="38">
        <f>G432</f>
        <v>1709.1</v>
      </c>
      <c r="H431" s="38"/>
      <c r="I431" s="117"/>
    </row>
    <row r="432" spans="1:9" s="1" customFormat="1" ht="20.25" customHeight="1">
      <c r="A432" s="56" t="s">
        <v>175</v>
      </c>
      <c r="B432" s="37" t="s">
        <v>150</v>
      </c>
      <c r="C432" s="45" t="s">
        <v>336</v>
      </c>
      <c r="D432" s="37" t="s">
        <v>174</v>
      </c>
      <c r="E432" s="38">
        <f>E433</f>
        <v>3203</v>
      </c>
      <c r="F432" s="38"/>
      <c r="G432" s="38">
        <f>G433</f>
        <v>1709.1</v>
      </c>
      <c r="H432" s="38"/>
      <c r="I432" s="117"/>
    </row>
    <row r="433" spans="1:9" s="1" customFormat="1" ht="33" customHeight="1">
      <c r="A433" s="56" t="s">
        <v>177</v>
      </c>
      <c r="B433" s="37" t="s">
        <v>150</v>
      </c>
      <c r="C433" s="45" t="s">
        <v>336</v>
      </c>
      <c r="D433" s="37" t="s">
        <v>176</v>
      </c>
      <c r="E433" s="38">
        <f>3203</f>
        <v>3203</v>
      </c>
      <c r="F433" s="38"/>
      <c r="G433" s="38">
        <v>1709.1</v>
      </c>
      <c r="H433" s="38"/>
      <c r="I433" s="117"/>
    </row>
    <row r="434" spans="1:9" s="1" customFormat="1" ht="76.5" customHeight="1">
      <c r="A434" s="56" t="s">
        <v>557</v>
      </c>
      <c r="B434" s="37" t="s">
        <v>150</v>
      </c>
      <c r="C434" s="46" t="s">
        <v>558</v>
      </c>
      <c r="D434" s="37"/>
      <c r="E434" s="38">
        <f>E435</f>
        <v>1004</v>
      </c>
      <c r="F434" s="38"/>
      <c r="G434" s="38">
        <f>G435</f>
        <v>0</v>
      </c>
      <c r="H434" s="38"/>
      <c r="I434" s="117"/>
    </row>
    <row r="435" spans="1:9" s="1" customFormat="1" ht="20.25" customHeight="1">
      <c r="A435" s="56" t="s">
        <v>179</v>
      </c>
      <c r="B435" s="37" t="s">
        <v>150</v>
      </c>
      <c r="C435" s="46" t="s">
        <v>558</v>
      </c>
      <c r="D435" s="37" t="s">
        <v>178</v>
      </c>
      <c r="E435" s="38">
        <f>E436</f>
        <v>1004</v>
      </c>
      <c r="F435" s="38"/>
      <c r="G435" s="38">
        <f>G436</f>
        <v>0</v>
      </c>
      <c r="H435" s="38"/>
      <c r="I435" s="117"/>
    </row>
    <row r="436" spans="1:9" s="1" customFormat="1" ht="46.5" customHeight="1">
      <c r="A436" s="40" t="s">
        <v>304</v>
      </c>
      <c r="B436" s="37" t="s">
        <v>150</v>
      </c>
      <c r="C436" s="46" t="s">
        <v>558</v>
      </c>
      <c r="D436" s="37" t="s">
        <v>51</v>
      </c>
      <c r="E436" s="38">
        <v>1004</v>
      </c>
      <c r="F436" s="38"/>
      <c r="G436" s="38">
        <v>0</v>
      </c>
      <c r="H436" s="38"/>
      <c r="I436" s="117"/>
    </row>
    <row r="437" spans="1:9" s="1" customFormat="1" ht="78.75" customHeight="1">
      <c r="A437" s="40" t="s">
        <v>712</v>
      </c>
      <c r="B437" s="37" t="s">
        <v>150</v>
      </c>
      <c r="C437" s="46" t="s">
        <v>559</v>
      </c>
      <c r="D437" s="37"/>
      <c r="E437" s="38">
        <f>E438</f>
        <v>48</v>
      </c>
      <c r="F437" s="38"/>
      <c r="G437" s="38">
        <f>G438</f>
        <v>2.1</v>
      </c>
      <c r="H437" s="38"/>
      <c r="I437" s="117"/>
    </row>
    <row r="438" spans="1:9" s="1" customFormat="1" ht="24" customHeight="1">
      <c r="A438" s="56" t="s">
        <v>175</v>
      </c>
      <c r="B438" s="37" t="s">
        <v>150</v>
      </c>
      <c r="C438" s="46" t="s">
        <v>559</v>
      </c>
      <c r="D438" s="37" t="s">
        <v>174</v>
      </c>
      <c r="E438" s="38">
        <f>E439</f>
        <v>48</v>
      </c>
      <c r="F438" s="38"/>
      <c r="G438" s="38">
        <f>G439</f>
        <v>2.1</v>
      </c>
      <c r="H438" s="38"/>
      <c r="I438" s="117"/>
    </row>
    <row r="439" spans="1:9" s="1" customFormat="1" ht="33" customHeight="1">
      <c r="A439" s="56" t="s">
        <v>177</v>
      </c>
      <c r="B439" s="37" t="s">
        <v>150</v>
      </c>
      <c r="C439" s="46" t="s">
        <v>559</v>
      </c>
      <c r="D439" s="37" t="s">
        <v>176</v>
      </c>
      <c r="E439" s="38">
        <v>48</v>
      </c>
      <c r="F439" s="38"/>
      <c r="G439" s="38">
        <v>2.1</v>
      </c>
      <c r="H439" s="38"/>
      <c r="I439" s="117"/>
    </row>
    <row r="440" spans="1:9" s="1" customFormat="1" ht="20.25" customHeight="1">
      <c r="A440" s="34" t="s">
        <v>251</v>
      </c>
      <c r="B440" s="37" t="s">
        <v>150</v>
      </c>
      <c r="C440" s="36" t="s">
        <v>21</v>
      </c>
      <c r="D440" s="37"/>
      <c r="E440" s="38">
        <f>E441</f>
        <v>18843.1</v>
      </c>
      <c r="F440" s="38">
        <f>F441</f>
        <v>5812</v>
      </c>
      <c r="G440" s="38">
        <f>G441</f>
        <v>9387.2</v>
      </c>
      <c r="H440" s="38">
        <f>H441</f>
        <v>2871.7</v>
      </c>
      <c r="I440" s="117"/>
    </row>
    <row r="441" spans="1:9" s="1" customFormat="1" ht="23.25" customHeight="1">
      <c r="A441" s="39" t="s">
        <v>42</v>
      </c>
      <c r="B441" s="37" t="s">
        <v>150</v>
      </c>
      <c r="C441" s="37" t="s">
        <v>22</v>
      </c>
      <c r="D441" s="37"/>
      <c r="E441" s="38">
        <f>E447+E442</f>
        <v>18843.1</v>
      </c>
      <c r="F441" s="38">
        <f>F447+F442</f>
        <v>5812</v>
      </c>
      <c r="G441" s="38">
        <f>G447+G442</f>
        <v>9387.2</v>
      </c>
      <c r="H441" s="38">
        <f>H447+H442</f>
        <v>2871.7</v>
      </c>
      <c r="I441" s="117"/>
    </row>
    <row r="442" spans="1:9" s="1" customFormat="1" ht="90" customHeight="1">
      <c r="A442" s="44" t="s">
        <v>291</v>
      </c>
      <c r="B442" s="45" t="s">
        <v>150</v>
      </c>
      <c r="C442" s="45" t="s">
        <v>459</v>
      </c>
      <c r="D442" s="45"/>
      <c r="E442" s="38">
        <f>E443+E445</f>
        <v>5812</v>
      </c>
      <c r="F442" s="38">
        <f>F443+F445</f>
        <v>5812</v>
      </c>
      <c r="G442" s="38">
        <f>G443+G445</f>
        <v>2871.7</v>
      </c>
      <c r="H442" s="38">
        <f>H443+H445</f>
        <v>2871.7</v>
      </c>
      <c r="I442" s="117"/>
    </row>
    <row r="443" spans="1:9" s="1" customFormat="1" ht="60.75" customHeight="1">
      <c r="A443" s="44" t="s">
        <v>344</v>
      </c>
      <c r="B443" s="45" t="s">
        <v>150</v>
      </c>
      <c r="C443" s="45" t="s">
        <v>459</v>
      </c>
      <c r="D443" s="45" t="s">
        <v>180</v>
      </c>
      <c r="E443" s="38">
        <f>E444</f>
        <v>3588</v>
      </c>
      <c r="F443" s="38">
        <f>F444</f>
        <v>3588</v>
      </c>
      <c r="G443" s="38">
        <f>G444</f>
        <v>2113.7</v>
      </c>
      <c r="H443" s="38">
        <f>H444</f>
        <v>2113.7</v>
      </c>
      <c r="I443" s="117"/>
    </row>
    <row r="444" spans="1:9" s="1" customFormat="1" ht="23.25" customHeight="1">
      <c r="A444" s="56" t="s">
        <v>173</v>
      </c>
      <c r="B444" s="45" t="s">
        <v>150</v>
      </c>
      <c r="C444" s="45" t="s">
        <v>459</v>
      </c>
      <c r="D444" s="45" t="s">
        <v>172</v>
      </c>
      <c r="E444" s="38">
        <v>3588</v>
      </c>
      <c r="F444" s="38">
        <f>E444</f>
        <v>3588</v>
      </c>
      <c r="G444" s="38">
        <v>2113.7</v>
      </c>
      <c r="H444" s="38">
        <f>G444</f>
        <v>2113.7</v>
      </c>
      <c r="I444" s="117"/>
    </row>
    <row r="445" spans="1:9" s="1" customFormat="1" ht="23.25" customHeight="1">
      <c r="A445" s="44" t="s">
        <v>175</v>
      </c>
      <c r="B445" s="45" t="s">
        <v>150</v>
      </c>
      <c r="C445" s="45" t="s">
        <v>459</v>
      </c>
      <c r="D445" s="45" t="s">
        <v>174</v>
      </c>
      <c r="E445" s="38">
        <f>E446</f>
        <v>2224</v>
      </c>
      <c r="F445" s="38">
        <f>F446</f>
        <v>2224</v>
      </c>
      <c r="G445" s="38">
        <f>G446</f>
        <v>758</v>
      </c>
      <c r="H445" s="38">
        <f>H446</f>
        <v>758</v>
      </c>
      <c r="I445" s="117"/>
    </row>
    <row r="446" spans="1:9" s="1" customFormat="1" ht="31.5" customHeight="1">
      <c r="A446" s="44" t="s">
        <v>177</v>
      </c>
      <c r="B446" s="45" t="s">
        <v>150</v>
      </c>
      <c r="C446" s="45" t="s">
        <v>459</v>
      </c>
      <c r="D446" s="45" t="s">
        <v>176</v>
      </c>
      <c r="E446" s="38">
        <f>2134+90</f>
        <v>2224</v>
      </c>
      <c r="F446" s="38">
        <f>E446</f>
        <v>2224</v>
      </c>
      <c r="G446" s="38">
        <v>758</v>
      </c>
      <c r="H446" s="38">
        <f>G446</f>
        <v>758</v>
      </c>
      <c r="I446" s="117"/>
    </row>
    <row r="447" spans="1:9" s="1" customFormat="1" ht="21.75" customHeight="1">
      <c r="A447" s="34" t="s">
        <v>270</v>
      </c>
      <c r="B447" s="37" t="s">
        <v>150</v>
      </c>
      <c r="C447" s="37" t="s">
        <v>198</v>
      </c>
      <c r="D447" s="37"/>
      <c r="E447" s="38">
        <f>E448</f>
        <v>13031.1</v>
      </c>
      <c r="F447" s="10"/>
      <c r="G447" s="38">
        <f>G448</f>
        <v>6515.5</v>
      </c>
      <c r="H447" s="10"/>
      <c r="I447" s="117"/>
    </row>
    <row r="448" spans="1:9" s="1" customFormat="1" ht="33" customHeight="1">
      <c r="A448" s="34" t="s">
        <v>352</v>
      </c>
      <c r="B448" s="37" t="s">
        <v>150</v>
      </c>
      <c r="C448" s="37" t="s">
        <v>198</v>
      </c>
      <c r="D448" s="37" t="s">
        <v>351</v>
      </c>
      <c r="E448" s="38">
        <f>E449</f>
        <v>13031.1</v>
      </c>
      <c r="F448" s="10"/>
      <c r="G448" s="38">
        <f>G449</f>
        <v>6515.5</v>
      </c>
      <c r="H448" s="10"/>
      <c r="I448" s="117"/>
    </row>
    <row r="449" spans="1:9" s="1" customFormat="1" ht="23.25" customHeight="1">
      <c r="A449" s="40" t="s">
        <v>350</v>
      </c>
      <c r="B449" s="8" t="s">
        <v>150</v>
      </c>
      <c r="C449" s="37" t="s">
        <v>198</v>
      </c>
      <c r="D449" s="8" t="s">
        <v>349</v>
      </c>
      <c r="E449" s="55">
        <f>13031.1</f>
        <v>13031.1</v>
      </c>
      <c r="F449" s="10"/>
      <c r="G449" s="55">
        <v>6515.5</v>
      </c>
      <c r="H449" s="10"/>
      <c r="I449" s="117"/>
    </row>
    <row r="450" spans="1:9" s="1" customFormat="1" ht="63.75" customHeight="1">
      <c r="A450" s="66" t="s">
        <v>285</v>
      </c>
      <c r="B450" s="8" t="s">
        <v>150</v>
      </c>
      <c r="C450" s="35" t="s">
        <v>362</v>
      </c>
      <c r="D450" s="35"/>
      <c r="E450" s="38">
        <f>E451</f>
        <v>400</v>
      </c>
      <c r="F450" s="10"/>
      <c r="G450" s="38">
        <f>G451</f>
        <v>0</v>
      </c>
      <c r="H450" s="10"/>
      <c r="I450" s="117"/>
    </row>
    <row r="451" spans="1:9" s="1" customFormat="1" ht="23.25" customHeight="1">
      <c r="A451" s="41" t="s">
        <v>704</v>
      </c>
      <c r="B451" s="8" t="s">
        <v>150</v>
      </c>
      <c r="C451" s="8" t="s">
        <v>705</v>
      </c>
      <c r="D451" s="8"/>
      <c r="E451" s="55">
        <f>E452</f>
        <v>400</v>
      </c>
      <c r="F451" s="10"/>
      <c r="G451" s="55">
        <f>G452</f>
        <v>0</v>
      </c>
      <c r="H451" s="10"/>
      <c r="I451" s="117"/>
    </row>
    <row r="452" spans="1:9" s="1" customFormat="1" ht="23.25" customHeight="1">
      <c r="A452" s="56" t="s">
        <v>175</v>
      </c>
      <c r="B452" s="8" t="s">
        <v>150</v>
      </c>
      <c r="C452" s="8" t="s">
        <v>705</v>
      </c>
      <c r="D452" s="8" t="s">
        <v>174</v>
      </c>
      <c r="E452" s="55">
        <f>E453</f>
        <v>400</v>
      </c>
      <c r="F452" s="10"/>
      <c r="G452" s="55">
        <f>G453</f>
        <v>0</v>
      </c>
      <c r="H452" s="10"/>
      <c r="I452" s="117"/>
    </row>
    <row r="453" spans="1:9" s="1" customFormat="1" ht="38.25" customHeight="1">
      <c r="A453" s="56" t="s">
        <v>177</v>
      </c>
      <c r="B453" s="8" t="s">
        <v>150</v>
      </c>
      <c r="C453" s="8" t="s">
        <v>705</v>
      </c>
      <c r="D453" s="8" t="s">
        <v>176</v>
      </c>
      <c r="E453" s="55">
        <f>200+200</f>
        <v>400</v>
      </c>
      <c r="F453" s="10"/>
      <c r="G453" s="55">
        <v>0</v>
      </c>
      <c r="H453" s="10"/>
      <c r="I453" s="117"/>
    </row>
    <row r="454" spans="1:9" s="1" customFormat="1" ht="45.75" customHeight="1">
      <c r="A454" s="44" t="s">
        <v>11</v>
      </c>
      <c r="B454" s="46" t="s">
        <v>150</v>
      </c>
      <c r="C454" s="46" t="s">
        <v>35</v>
      </c>
      <c r="D454" s="46"/>
      <c r="E454" s="51">
        <f>E455+E460+E463</f>
        <v>10331.6</v>
      </c>
      <c r="F454" s="51"/>
      <c r="G454" s="51">
        <f>G455+G460+G463</f>
        <v>3047.4</v>
      </c>
      <c r="H454" s="51"/>
      <c r="I454" s="117"/>
    </row>
    <row r="455" spans="1:9" s="1" customFormat="1" ht="33" customHeight="1">
      <c r="A455" s="34" t="s">
        <v>301</v>
      </c>
      <c r="B455" s="8" t="s">
        <v>150</v>
      </c>
      <c r="C455" s="37" t="s">
        <v>202</v>
      </c>
      <c r="D455" s="8"/>
      <c r="E455" s="55">
        <f>E456+E458</f>
        <v>8031.6</v>
      </c>
      <c r="F455" s="55"/>
      <c r="G455" s="55">
        <f>G456+G458</f>
        <v>3047.4</v>
      </c>
      <c r="H455" s="55"/>
      <c r="I455" s="117"/>
    </row>
    <row r="456" spans="1:9" s="1" customFormat="1" ht="59.25" customHeight="1">
      <c r="A456" s="54" t="s">
        <v>344</v>
      </c>
      <c r="B456" s="37" t="s">
        <v>150</v>
      </c>
      <c r="C456" s="37" t="s">
        <v>202</v>
      </c>
      <c r="D456" s="37" t="s">
        <v>180</v>
      </c>
      <c r="E456" s="48">
        <f>E457</f>
        <v>7788.6</v>
      </c>
      <c r="F456" s="38"/>
      <c r="G456" s="48">
        <f>G457</f>
        <v>2866.6</v>
      </c>
      <c r="H456" s="38"/>
      <c r="I456" s="117"/>
    </row>
    <row r="457" spans="1:9" s="1" customFormat="1" ht="24" customHeight="1">
      <c r="A457" s="54" t="s">
        <v>346</v>
      </c>
      <c r="B457" s="8" t="s">
        <v>150</v>
      </c>
      <c r="C457" s="37" t="s">
        <v>202</v>
      </c>
      <c r="D457" s="8" t="s">
        <v>345</v>
      </c>
      <c r="E457" s="55">
        <f>5931.6+2100-243</f>
        <v>7788.6</v>
      </c>
      <c r="F457" s="55"/>
      <c r="G457" s="55">
        <v>2866.6</v>
      </c>
      <c r="H457" s="55"/>
      <c r="I457" s="117"/>
    </row>
    <row r="458" spans="1:9" s="1" customFormat="1" ht="24.75" customHeight="1">
      <c r="A458" s="56" t="s">
        <v>175</v>
      </c>
      <c r="B458" s="37" t="s">
        <v>150</v>
      </c>
      <c r="C458" s="37" t="s">
        <v>202</v>
      </c>
      <c r="D458" s="8" t="s">
        <v>174</v>
      </c>
      <c r="E458" s="55">
        <f>E459</f>
        <v>243</v>
      </c>
      <c r="F458" s="55"/>
      <c r="G458" s="55">
        <f>G459</f>
        <v>180.8</v>
      </c>
      <c r="H458" s="55"/>
      <c r="I458" s="117"/>
    </row>
    <row r="459" spans="1:9" s="1" customFormat="1" ht="31.5" customHeight="1">
      <c r="A459" s="56" t="s">
        <v>177</v>
      </c>
      <c r="B459" s="8" t="s">
        <v>150</v>
      </c>
      <c r="C459" s="37" t="s">
        <v>202</v>
      </c>
      <c r="D459" s="8" t="s">
        <v>176</v>
      </c>
      <c r="E459" s="55">
        <f>243</f>
        <v>243</v>
      </c>
      <c r="F459" s="55"/>
      <c r="G459" s="55">
        <v>180.8</v>
      </c>
      <c r="H459" s="55"/>
      <c r="I459" s="117"/>
    </row>
    <row r="460" spans="1:9" s="1" customFormat="1" ht="21.75" customHeight="1">
      <c r="A460" s="40" t="s">
        <v>259</v>
      </c>
      <c r="B460" s="45" t="s">
        <v>150</v>
      </c>
      <c r="C460" s="37" t="s">
        <v>260</v>
      </c>
      <c r="D460" s="95"/>
      <c r="E460" s="55">
        <f>E461</f>
        <v>2000</v>
      </c>
      <c r="F460" s="55"/>
      <c r="G460" s="55">
        <f>G461</f>
        <v>0</v>
      </c>
      <c r="H460" s="55"/>
      <c r="I460" s="117"/>
    </row>
    <row r="461" spans="1:9" s="1" customFormat="1" ht="21.75" customHeight="1">
      <c r="A461" s="56" t="s">
        <v>175</v>
      </c>
      <c r="B461" s="45" t="s">
        <v>150</v>
      </c>
      <c r="C461" s="37" t="s">
        <v>260</v>
      </c>
      <c r="D461" s="95" t="s">
        <v>174</v>
      </c>
      <c r="E461" s="55">
        <f>E462</f>
        <v>2000</v>
      </c>
      <c r="F461" s="55"/>
      <c r="G461" s="55">
        <f>G462</f>
        <v>0</v>
      </c>
      <c r="H461" s="55"/>
      <c r="I461" s="117"/>
    </row>
    <row r="462" spans="1:9" s="1" customFormat="1" ht="31.5" customHeight="1">
      <c r="A462" s="56" t="s">
        <v>177</v>
      </c>
      <c r="B462" s="45" t="s">
        <v>150</v>
      </c>
      <c r="C462" s="37" t="s">
        <v>260</v>
      </c>
      <c r="D462" s="95" t="s">
        <v>176</v>
      </c>
      <c r="E462" s="55">
        <f>2300-300</f>
        <v>2000</v>
      </c>
      <c r="F462" s="55"/>
      <c r="G462" s="55">
        <v>0</v>
      </c>
      <c r="H462" s="55"/>
      <c r="I462" s="117"/>
    </row>
    <row r="463" spans="1:9" s="1" customFormat="1" ht="47.25" customHeight="1">
      <c r="A463" s="56" t="s">
        <v>625</v>
      </c>
      <c r="B463" s="45" t="s">
        <v>150</v>
      </c>
      <c r="C463" s="37" t="s">
        <v>626</v>
      </c>
      <c r="D463" s="95"/>
      <c r="E463" s="55">
        <f>E464</f>
        <v>300</v>
      </c>
      <c r="F463" s="55"/>
      <c r="G463" s="55">
        <f>G464</f>
        <v>0</v>
      </c>
      <c r="H463" s="55"/>
      <c r="I463" s="117"/>
    </row>
    <row r="464" spans="1:9" s="1" customFormat="1" ht="24" customHeight="1">
      <c r="A464" s="56" t="s">
        <v>175</v>
      </c>
      <c r="B464" s="45" t="s">
        <v>150</v>
      </c>
      <c r="C464" s="37" t="s">
        <v>626</v>
      </c>
      <c r="D464" s="95" t="s">
        <v>174</v>
      </c>
      <c r="E464" s="55">
        <f>E465</f>
        <v>300</v>
      </c>
      <c r="F464" s="55"/>
      <c r="G464" s="55">
        <f>G465</f>
        <v>0</v>
      </c>
      <c r="H464" s="55"/>
      <c r="I464" s="117"/>
    </row>
    <row r="465" spans="1:9" s="1" customFormat="1" ht="31.5" customHeight="1">
      <c r="A465" s="56" t="s">
        <v>177</v>
      </c>
      <c r="B465" s="45" t="s">
        <v>150</v>
      </c>
      <c r="C465" s="37" t="s">
        <v>626</v>
      </c>
      <c r="D465" s="95" t="s">
        <v>176</v>
      </c>
      <c r="E465" s="55">
        <v>300</v>
      </c>
      <c r="F465" s="55"/>
      <c r="G465" s="55">
        <v>0</v>
      </c>
      <c r="H465" s="55"/>
      <c r="I465" s="117"/>
    </row>
    <row r="466" spans="1:9" s="1" customFormat="1" ht="45.75" customHeight="1">
      <c r="A466" s="56" t="s">
        <v>583</v>
      </c>
      <c r="B466" s="45" t="s">
        <v>150</v>
      </c>
      <c r="C466" s="45" t="s">
        <v>580</v>
      </c>
      <c r="D466" s="95"/>
      <c r="E466" s="55">
        <f>E467</f>
        <v>54010.7</v>
      </c>
      <c r="F466" s="55"/>
      <c r="G466" s="55">
        <f>G467</f>
        <v>10110.4</v>
      </c>
      <c r="H466" s="55"/>
      <c r="I466" s="117"/>
    </row>
    <row r="467" spans="1:9" s="1" customFormat="1" ht="45.75" customHeight="1">
      <c r="A467" s="56" t="s">
        <v>678</v>
      </c>
      <c r="B467" s="45" t="s">
        <v>150</v>
      </c>
      <c r="C467" s="45" t="s">
        <v>580</v>
      </c>
      <c r="D467" s="95"/>
      <c r="E467" s="55">
        <f>E468+E473+E476+E479</f>
        <v>54010.7</v>
      </c>
      <c r="F467" s="55"/>
      <c r="G467" s="55">
        <f>G468+G473+G476+G479</f>
        <v>10110.4</v>
      </c>
      <c r="H467" s="55"/>
      <c r="I467" s="117"/>
    </row>
    <row r="468" spans="1:9" s="1" customFormat="1" ht="19.5" customHeight="1">
      <c r="A468" s="56" t="s">
        <v>581</v>
      </c>
      <c r="B468" s="45" t="s">
        <v>150</v>
      </c>
      <c r="C468" s="45" t="s">
        <v>582</v>
      </c>
      <c r="D468" s="95"/>
      <c r="E468" s="38">
        <f>E469+E471</f>
        <v>23127.7</v>
      </c>
      <c r="F468" s="55"/>
      <c r="G468" s="38">
        <f>G469+G471</f>
        <v>10110.4</v>
      </c>
      <c r="H468" s="55"/>
      <c r="I468" s="117"/>
    </row>
    <row r="469" spans="1:9" s="1" customFormat="1" ht="31.5" customHeight="1">
      <c r="A469" s="44" t="s">
        <v>339</v>
      </c>
      <c r="B469" s="45" t="s">
        <v>150</v>
      </c>
      <c r="C469" s="45" t="s">
        <v>582</v>
      </c>
      <c r="D469" s="95" t="s">
        <v>409</v>
      </c>
      <c r="E469" s="38">
        <f>E470</f>
        <v>21358.9</v>
      </c>
      <c r="F469" s="55"/>
      <c r="G469" s="38">
        <f>G470</f>
        <v>8391.6</v>
      </c>
      <c r="H469" s="55"/>
      <c r="I469" s="117"/>
    </row>
    <row r="470" spans="1:9" s="1" customFormat="1" ht="20.25" customHeight="1">
      <c r="A470" s="44" t="s">
        <v>410</v>
      </c>
      <c r="B470" s="45" t="s">
        <v>150</v>
      </c>
      <c r="C470" s="45" t="s">
        <v>582</v>
      </c>
      <c r="D470" s="95" t="s">
        <v>414</v>
      </c>
      <c r="E470" s="38">
        <f>8341.9+18829.5-812.5-5000</f>
        <v>21358.9</v>
      </c>
      <c r="F470" s="55"/>
      <c r="G470" s="38">
        <v>8391.6</v>
      </c>
      <c r="H470" s="55"/>
      <c r="I470" s="117"/>
    </row>
    <row r="471" spans="1:9" s="1" customFormat="1" ht="20.25" customHeight="1">
      <c r="A471" s="44" t="s">
        <v>179</v>
      </c>
      <c r="B471" s="45" t="s">
        <v>150</v>
      </c>
      <c r="C471" s="45" t="s">
        <v>582</v>
      </c>
      <c r="D471" s="45" t="s">
        <v>178</v>
      </c>
      <c r="E471" s="48">
        <f>E472</f>
        <v>1768.8</v>
      </c>
      <c r="F471" s="48"/>
      <c r="G471" s="48">
        <f>G472</f>
        <v>1718.8</v>
      </c>
      <c r="H471" s="48"/>
      <c r="I471" s="117"/>
    </row>
    <row r="472" spans="1:9" s="1" customFormat="1" ht="20.25" customHeight="1">
      <c r="A472" s="44" t="s">
        <v>357</v>
      </c>
      <c r="B472" s="45" t="s">
        <v>150</v>
      </c>
      <c r="C472" s="45" t="s">
        <v>582</v>
      </c>
      <c r="D472" s="45" t="s">
        <v>356</v>
      </c>
      <c r="E472" s="48">
        <f>1700+18.8+50</f>
        <v>1768.8</v>
      </c>
      <c r="F472" s="48">
        <v>0</v>
      </c>
      <c r="G472" s="48">
        <v>1718.8</v>
      </c>
      <c r="H472" s="48">
        <v>0</v>
      </c>
      <c r="I472" s="117"/>
    </row>
    <row r="473" spans="1:9" s="1" customFormat="1" ht="31.5" customHeight="1">
      <c r="A473" s="44" t="s">
        <v>604</v>
      </c>
      <c r="B473" s="45" t="s">
        <v>150</v>
      </c>
      <c r="C473" s="45" t="s">
        <v>605</v>
      </c>
      <c r="D473" s="95"/>
      <c r="E473" s="38">
        <f>E474</f>
        <v>24470.5</v>
      </c>
      <c r="F473" s="55"/>
      <c r="G473" s="38">
        <f>G474</f>
        <v>0</v>
      </c>
      <c r="H473" s="55"/>
      <c r="I473" s="117"/>
    </row>
    <row r="474" spans="1:9" s="1" customFormat="1" ht="20.25" customHeight="1">
      <c r="A474" s="56" t="s">
        <v>175</v>
      </c>
      <c r="B474" s="45" t="s">
        <v>150</v>
      </c>
      <c r="C474" s="45" t="s">
        <v>605</v>
      </c>
      <c r="D474" s="95" t="s">
        <v>174</v>
      </c>
      <c r="E474" s="38">
        <f>E475</f>
        <v>24470.5</v>
      </c>
      <c r="F474" s="55"/>
      <c r="G474" s="38">
        <f>G475</f>
        <v>0</v>
      </c>
      <c r="H474" s="55"/>
      <c r="I474" s="117"/>
    </row>
    <row r="475" spans="1:9" s="1" customFormat="1" ht="30" customHeight="1">
      <c r="A475" s="56" t="s">
        <v>177</v>
      </c>
      <c r="B475" s="45" t="s">
        <v>150</v>
      </c>
      <c r="C475" s="45" t="s">
        <v>605</v>
      </c>
      <c r="D475" s="95" t="s">
        <v>176</v>
      </c>
      <c r="E475" s="38">
        <f>24470.5</f>
        <v>24470.5</v>
      </c>
      <c r="F475" s="55"/>
      <c r="G475" s="38">
        <v>0</v>
      </c>
      <c r="H475" s="55"/>
      <c r="I475" s="117"/>
    </row>
    <row r="476" spans="1:9" s="1" customFormat="1" ht="30" customHeight="1">
      <c r="A476" s="44" t="s">
        <v>617</v>
      </c>
      <c r="B476" s="45" t="s">
        <v>150</v>
      </c>
      <c r="C476" s="45" t="s">
        <v>618</v>
      </c>
      <c r="D476" s="95"/>
      <c r="E476" s="38">
        <f>E477</f>
        <v>1412.5</v>
      </c>
      <c r="F476" s="55"/>
      <c r="G476" s="38">
        <f>G477</f>
        <v>0</v>
      </c>
      <c r="H476" s="55"/>
      <c r="I476" s="117"/>
    </row>
    <row r="477" spans="1:9" s="1" customFormat="1" ht="22.5" customHeight="1">
      <c r="A477" s="56" t="s">
        <v>175</v>
      </c>
      <c r="B477" s="45" t="s">
        <v>150</v>
      </c>
      <c r="C477" s="45" t="s">
        <v>618</v>
      </c>
      <c r="D477" s="95" t="s">
        <v>174</v>
      </c>
      <c r="E477" s="38">
        <f>E478</f>
        <v>1412.5</v>
      </c>
      <c r="F477" s="55"/>
      <c r="G477" s="38">
        <f>G478</f>
        <v>0</v>
      </c>
      <c r="H477" s="55"/>
      <c r="I477" s="117"/>
    </row>
    <row r="478" spans="1:9" s="1" customFormat="1" ht="30" customHeight="1">
      <c r="A478" s="56" t="s">
        <v>177</v>
      </c>
      <c r="B478" s="45" t="s">
        <v>150</v>
      </c>
      <c r="C478" s="45" t="s">
        <v>618</v>
      </c>
      <c r="D478" s="95" t="s">
        <v>176</v>
      </c>
      <c r="E478" s="38">
        <f>600+812.5</f>
        <v>1412.5</v>
      </c>
      <c r="F478" s="55"/>
      <c r="G478" s="38">
        <v>0</v>
      </c>
      <c r="H478" s="55"/>
      <c r="I478" s="117"/>
    </row>
    <row r="479" spans="1:9" s="1" customFormat="1" ht="45.75" customHeight="1">
      <c r="A479" s="56" t="s">
        <v>708</v>
      </c>
      <c r="B479" s="45" t="s">
        <v>150</v>
      </c>
      <c r="C479" s="45" t="s">
        <v>709</v>
      </c>
      <c r="D479" s="95"/>
      <c r="E479" s="38">
        <f>E480</f>
        <v>5000</v>
      </c>
      <c r="F479" s="55"/>
      <c r="G479" s="38">
        <f>G480</f>
        <v>0</v>
      </c>
      <c r="H479" s="55"/>
      <c r="I479" s="117"/>
    </row>
    <row r="480" spans="1:9" s="1" customFormat="1" ht="30" customHeight="1">
      <c r="A480" s="34" t="s">
        <v>352</v>
      </c>
      <c r="B480" s="45" t="s">
        <v>150</v>
      </c>
      <c r="C480" s="45" t="s">
        <v>709</v>
      </c>
      <c r="D480" s="95" t="s">
        <v>351</v>
      </c>
      <c r="E480" s="38">
        <f>E481</f>
        <v>5000</v>
      </c>
      <c r="F480" s="55"/>
      <c r="G480" s="38">
        <f>G481</f>
        <v>0</v>
      </c>
      <c r="H480" s="55"/>
      <c r="I480" s="117"/>
    </row>
    <row r="481" spans="1:9" s="1" customFormat="1" ht="22.5" customHeight="1">
      <c r="A481" s="40" t="s">
        <v>350</v>
      </c>
      <c r="B481" s="45" t="s">
        <v>150</v>
      </c>
      <c r="C481" s="45" t="s">
        <v>709</v>
      </c>
      <c r="D481" s="95" t="s">
        <v>349</v>
      </c>
      <c r="E481" s="38">
        <f>5000</f>
        <v>5000</v>
      </c>
      <c r="F481" s="55"/>
      <c r="G481" s="38">
        <v>0</v>
      </c>
      <c r="H481" s="55"/>
      <c r="I481" s="117"/>
    </row>
    <row r="482" spans="1:9" s="5" customFormat="1" ht="20.25" customHeight="1">
      <c r="A482" s="20" t="s">
        <v>100</v>
      </c>
      <c r="B482" s="17" t="s">
        <v>94</v>
      </c>
      <c r="C482" s="17"/>
      <c r="D482" s="17"/>
      <c r="E482" s="18">
        <f>E585+E501+E552+E483</f>
        <v>419048.4</v>
      </c>
      <c r="F482" s="18">
        <f>F585+F501+F552+F483</f>
        <v>91466.79999999999</v>
      </c>
      <c r="G482" s="18">
        <f>G585+G501+G552+G483</f>
        <v>137979</v>
      </c>
      <c r="H482" s="18">
        <f>H585+H501+H552+H483</f>
        <v>30571.500000000004</v>
      </c>
      <c r="I482" s="24">
        <f>G482/E482*100</f>
        <v>32.92674545470165</v>
      </c>
    </row>
    <row r="483" spans="1:9" s="5" customFormat="1" ht="20.25" customHeight="1">
      <c r="A483" s="47" t="s">
        <v>300</v>
      </c>
      <c r="B483" s="60" t="s">
        <v>299</v>
      </c>
      <c r="C483" s="14"/>
      <c r="D483" s="14"/>
      <c r="E483" s="98">
        <f>E484+E489+E497</f>
        <v>65455.9</v>
      </c>
      <c r="F483" s="98">
        <f>F484+F489</f>
        <v>8218.9</v>
      </c>
      <c r="G483" s="98">
        <f>G484+G489+G497</f>
        <v>39757</v>
      </c>
      <c r="H483" s="98">
        <f>H484+H489</f>
        <v>0</v>
      </c>
      <c r="I483" s="116"/>
    </row>
    <row r="484" spans="1:9" s="5" customFormat="1" ht="49.5" customHeight="1">
      <c r="A484" s="41" t="s">
        <v>566</v>
      </c>
      <c r="B484" s="8" t="s">
        <v>299</v>
      </c>
      <c r="C484" s="8" t="s">
        <v>186</v>
      </c>
      <c r="D484" s="8"/>
      <c r="E484" s="48">
        <f>E485</f>
        <v>50720</v>
      </c>
      <c r="F484" s="48">
        <f>F485</f>
        <v>0</v>
      </c>
      <c r="G484" s="48">
        <f>G485</f>
        <v>39360</v>
      </c>
      <c r="H484" s="48">
        <f>H485</f>
        <v>0</v>
      </c>
      <c r="I484" s="116"/>
    </row>
    <row r="485" spans="1:9" s="5" customFormat="1" ht="34.5" customHeight="1">
      <c r="A485" s="66" t="s">
        <v>568</v>
      </c>
      <c r="B485" s="8" t="s">
        <v>299</v>
      </c>
      <c r="C485" s="8" t="s">
        <v>569</v>
      </c>
      <c r="D485" s="8"/>
      <c r="E485" s="48">
        <f>E486</f>
        <v>50720</v>
      </c>
      <c r="F485" s="98"/>
      <c r="G485" s="48">
        <f>G486</f>
        <v>39360</v>
      </c>
      <c r="H485" s="98"/>
      <c r="I485" s="116"/>
    </row>
    <row r="486" spans="1:9" s="5" customFormat="1" ht="75" customHeight="1">
      <c r="A486" s="56" t="s">
        <v>297</v>
      </c>
      <c r="B486" s="45" t="s">
        <v>299</v>
      </c>
      <c r="C486" s="45" t="s">
        <v>653</v>
      </c>
      <c r="D486" s="45"/>
      <c r="E486" s="48">
        <f>E487</f>
        <v>50720</v>
      </c>
      <c r="F486" s="48">
        <f>F488</f>
        <v>0</v>
      </c>
      <c r="G486" s="48">
        <f>G487</f>
        <v>39360</v>
      </c>
      <c r="H486" s="48">
        <f>H488</f>
        <v>0</v>
      </c>
      <c r="I486" s="116"/>
    </row>
    <row r="487" spans="1:9" s="5" customFormat="1" ht="20.25" customHeight="1">
      <c r="A487" s="44" t="s">
        <v>179</v>
      </c>
      <c r="B487" s="45" t="s">
        <v>299</v>
      </c>
      <c r="C487" s="45" t="s">
        <v>653</v>
      </c>
      <c r="D487" s="45" t="s">
        <v>178</v>
      </c>
      <c r="E487" s="48">
        <f>E488</f>
        <v>50720</v>
      </c>
      <c r="F487" s="48"/>
      <c r="G487" s="48">
        <f>G488</f>
        <v>39360</v>
      </c>
      <c r="H487" s="48"/>
      <c r="I487" s="116"/>
    </row>
    <row r="488" spans="1:9" s="5" customFormat="1" ht="20.25" customHeight="1">
      <c r="A488" s="44" t="s">
        <v>357</v>
      </c>
      <c r="B488" s="45" t="s">
        <v>299</v>
      </c>
      <c r="C488" s="45" t="s">
        <v>653</v>
      </c>
      <c r="D488" s="45" t="s">
        <v>356</v>
      </c>
      <c r="E488" s="48">
        <f>78720-28000+557.7-200-357.7</f>
        <v>50720</v>
      </c>
      <c r="F488" s="48">
        <v>0</v>
      </c>
      <c r="G488" s="48">
        <v>39360</v>
      </c>
      <c r="H488" s="48">
        <v>0</v>
      </c>
      <c r="I488" s="116"/>
    </row>
    <row r="489" spans="1:9" s="5" customFormat="1" ht="33.75" customHeight="1">
      <c r="A489" s="44" t="s">
        <v>633</v>
      </c>
      <c r="B489" s="45" t="s">
        <v>299</v>
      </c>
      <c r="C489" s="8" t="s">
        <v>563</v>
      </c>
      <c r="D489" s="90"/>
      <c r="E489" s="91">
        <f>E490</f>
        <v>14338.9</v>
      </c>
      <c r="F489" s="91">
        <f>F490</f>
        <v>8218.9</v>
      </c>
      <c r="G489" s="91">
        <f>G490</f>
        <v>0</v>
      </c>
      <c r="H489" s="91">
        <f>H490</f>
        <v>0</v>
      </c>
      <c r="I489" s="116"/>
    </row>
    <row r="490" spans="1:9" s="5" customFormat="1" ht="60" customHeight="1">
      <c r="A490" s="44" t="s">
        <v>592</v>
      </c>
      <c r="B490" s="45" t="s">
        <v>299</v>
      </c>
      <c r="C490" s="8" t="s">
        <v>593</v>
      </c>
      <c r="D490" s="103"/>
      <c r="E490" s="91">
        <f>E495+E492</f>
        <v>14338.9</v>
      </c>
      <c r="F490" s="91">
        <f>F495+F492</f>
        <v>8218.9</v>
      </c>
      <c r="G490" s="91">
        <f>G495+G492</f>
        <v>0</v>
      </c>
      <c r="H490" s="91">
        <f>H495+H492</f>
        <v>0</v>
      </c>
      <c r="I490" s="116"/>
    </row>
    <row r="491" spans="1:9" s="5" customFormat="1" ht="21.75" customHeight="1">
      <c r="A491" s="44" t="s">
        <v>586</v>
      </c>
      <c r="B491" s="45" t="s">
        <v>299</v>
      </c>
      <c r="C491" s="8" t="s">
        <v>594</v>
      </c>
      <c r="D491" s="103"/>
      <c r="E491" s="104">
        <f aca="true" t="shared" si="10" ref="E491:H492">E492</f>
        <v>8218.9</v>
      </c>
      <c r="F491" s="104">
        <f t="shared" si="10"/>
        <v>8218.9</v>
      </c>
      <c r="G491" s="104">
        <f t="shared" si="10"/>
        <v>0</v>
      </c>
      <c r="H491" s="104">
        <f t="shared" si="10"/>
        <v>0</v>
      </c>
      <c r="I491" s="116"/>
    </row>
    <row r="492" spans="1:9" s="5" customFormat="1" ht="18" customHeight="1">
      <c r="A492" s="56" t="s">
        <v>179</v>
      </c>
      <c r="B492" s="45" t="s">
        <v>299</v>
      </c>
      <c r="C492" s="8" t="s">
        <v>594</v>
      </c>
      <c r="D492" s="103" t="s">
        <v>178</v>
      </c>
      <c r="E492" s="104">
        <f t="shared" si="10"/>
        <v>8218.9</v>
      </c>
      <c r="F492" s="104">
        <f t="shared" si="10"/>
        <v>8218.9</v>
      </c>
      <c r="G492" s="104">
        <f t="shared" si="10"/>
        <v>0</v>
      </c>
      <c r="H492" s="104">
        <f t="shared" si="10"/>
        <v>0</v>
      </c>
      <c r="I492" s="116"/>
    </row>
    <row r="493" spans="1:9" s="5" customFormat="1" ht="44.25" customHeight="1">
      <c r="A493" s="40" t="s">
        <v>304</v>
      </c>
      <c r="B493" s="45" t="s">
        <v>299</v>
      </c>
      <c r="C493" s="8" t="s">
        <v>594</v>
      </c>
      <c r="D493" s="103" t="s">
        <v>51</v>
      </c>
      <c r="E493" s="104">
        <f>9854-1635.1</f>
        <v>8218.9</v>
      </c>
      <c r="F493" s="104">
        <f>E493</f>
        <v>8218.9</v>
      </c>
      <c r="G493" s="104">
        <v>0</v>
      </c>
      <c r="H493" s="104">
        <f>G493</f>
        <v>0</v>
      </c>
      <c r="I493" s="116"/>
    </row>
    <row r="494" spans="1:9" s="5" customFormat="1" ht="32.25" customHeight="1">
      <c r="A494" s="44" t="s">
        <v>302</v>
      </c>
      <c r="B494" s="45" t="s">
        <v>299</v>
      </c>
      <c r="C494" s="8" t="s">
        <v>595</v>
      </c>
      <c r="D494" s="8"/>
      <c r="E494" s="55">
        <f>E495</f>
        <v>6120</v>
      </c>
      <c r="F494" s="10"/>
      <c r="G494" s="55">
        <f>G495</f>
        <v>0</v>
      </c>
      <c r="H494" s="10"/>
      <c r="I494" s="116"/>
    </row>
    <row r="495" spans="1:9" s="5" customFormat="1" ht="20.25" customHeight="1">
      <c r="A495" s="56" t="s">
        <v>179</v>
      </c>
      <c r="B495" s="45" t="s">
        <v>299</v>
      </c>
      <c r="C495" s="8" t="s">
        <v>595</v>
      </c>
      <c r="D495" s="8" t="s">
        <v>178</v>
      </c>
      <c r="E495" s="55">
        <f>E496</f>
        <v>6120</v>
      </c>
      <c r="F495" s="10"/>
      <c r="G495" s="55">
        <f>G496</f>
        <v>0</v>
      </c>
      <c r="H495" s="10"/>
      <c r="I495" s="116"/>
    </row>
    <row r="496" spans="1:9" s="5" customFormat="1" ht="49.5" customHeight="1">
      <c r="A496" s="40" t="s">
        <v>304</v>
      </c>
      <c r="B496" s="45" t="s">
        <v>299</v>
      </c>
      <c r="C496" s="8" t="s">
        <v>595</v>
      </c>
      <c r="D496" s="8" t="s">
        <v>51</v>
      </c>
      <c r="E496" s="55">
        <f>6120</f>
        <v>6120</v>
      </c>
      <c r="F496" s="10"/>
      <c r="G496" s="55">
        <v>0</v>
      </c>
      <c r="H496" s="10"/>
      <c r="I496" s="116"/>
    </row>
    <row r="497" spans="1:9" s="5" customFormat="1" ht="26.25" customHeight="1">
      <c r="A497" s="78" t="s">
        <v>253</v>
      </c>
      <c r="B497" s="45" t="s">
        <v>299</v>
      </c>
      <c r="C497" s="37" t="s">
        <v>381</v>
      </c>
      <c r="D497" s="35"/>
      <c r="E497" s="38">
        <f>E498</f>
        <v>397</v>
      </c>
      <c r="F497" s="51"/>
      <c r="G497" s="38">
        <f>G498</f>
        <v>397</v>
      </c>
      <c r="H497" s="51"/>
      <c r="I497" s="116"/>
    </row>
    <row r="498" spans="1:9" s="5" customFormat="1" ht="33" customHeight="1">
      <c r="A498" s="39" t="s">
        <v>691</v>
      </c>
      <c r="B498" s="45" t="s">
        <v>299</v>
      </c>
      <c r="C498" s="8" t="s">
        <v>692</v>
      </c>
      <c r="D498" s="36"/>
      <c r="E498" s="55">
        <f>E499</f>
        <v>397</v>
      </c>
      <c r="F498" s="51"/>
      <c r="G498" s="55">
        <f>G499</f>
        <v>397</v>
      </c>
      <c r="H498" s="51"/>
      <c r="I498" s="116"/>
    </row>
    <row r="499" spans="1:9" s="5" customFormat="1" ht="21.75" customHeight="1">
      <c r="A499" s="44" t="s">
        <v>175</v>
      </c>
      <c r="B499" s="45" t="s">
        <v>299</v>
      </c>
      <c r="C499" s="8" t="s">
        <v>692</v>
      </c>
      <c r="D499" s="36" t="s">
        <v>174</v>
      </c>
      <c r="E499" s="55">
        <f>E500</f>
        <v>397</v>
      </c>
      <c r="F499" s="51"/>
      <c r="G499" s="55">
        <f>G500</f>
        <v>397</v>
      </c>
      <c r="H499" s="51"/>
      <c r="I499" s="116"/>
    </row>
    <row r="500" spans="1:9" s="5" customFormat="1" ht="32.25" customHeight="1">
      <c r="A500" s="44" t="s">
        <v>177</v>
      </c>
      <c r="B500" s="45" t="s">
        <v>299</v>
      </c>
      <c r="C500" s="8" t="s">
        <v>692</v>
      </c>
      <c r="D500" s="46" t="s">
        <v>176</v>
      </c>
      <c r="E500" s="51">
        <v>397</v>
      </c>
      <c r="F500" s="51"/>
      <c r="G500" s="51">
        <v>397</v>
      </c>
      <c r="H500" s="51"/>
      <c r="I500" s="116"/>
    </row>
    <row r="501" spans="1:9" s="5" customFormat="1" ht="16.5" customHeight="1">
      <c r="A501" s="47" t="s">
        <v>161</v>
      </c>
      <c r="B501" s="60" t="s">
        <v>162</v>
      </c>
      <c r="C501" s="60"/>
      <c r="D501" s="60"/>
      <c r="E501" s="10">
        <f>E548+E502</f>
        <v>296136.9</v>
      </c>
      <c r="F501" s="10">
        <f>F502</f>
        <v>72893.9</v>
      </c>
      <c r="G501" s="10">
        <f>G548+G502</f>
        <v>79052.79999999999</v>
      </c>
      <c r="H501" s="10">
        <f>H502</f>
        <v>27873.2</v>
      </c>
      <c r="I501" s="116"/>
    </row>
    <row r="502" spans="1:9" s="5" customFormat="1" ht="46.5" customHeight="1">
      <c r="A502" s="41" t="s">
        <v>566</v>
      </c>
      <c r="B502" s="8" t="s">
        <v>162</v>
      </c>
      <c r="C502" s="8" t="s">
        <v>186</v>
      </c>
      <c r="D502" s="8"/>
      <c r="E502" s="55">
        <f>E503+E513+E541</f>
        <v>275977</v>
      </c>
      <c r="F502" s="55">
        <f>F503+F513+F541</f>
        <v>72893.9</v>
      </c>
      <c r="G502" s="55">
        <f>G503+G513+G541</f>
        <v>78828.4</v>
      </c>
      <c r="H502" s="55">
        <f>H503+H513+H541</f>
        <v>27873.2</v>
      </c>
      <c r="I502" s="116"/>
    </row>
    <row r="503" spans="1:9" s="5" customFormat="1" ht="19.5" customHeight="1">
      <c r="A503" s="66" t="s">
        <v>567</v>
      </c>
      <c r="B503" s="8" t="s">
        <v>162</v>
      </c>
      <c r="C503" s="8" t="s">
        <v>303</v>
      </c>
      <c r="D503" s="8"/>
      <c r="E503" s="55">
        <f>E504+E507+E510</f>
        <v>49999.600000000006</v>
      </c>
      <c r="F503" s="55">
        <f>F504+F507+F510</f>
        <v>43343.9</v>
      </c>
      <c r="G503" s="55">
        <f>G504+G507+G510</f>
        <v>26646.2</v>
      </c>
      <c r="H503" s="55">
        <f>H504+H507+H510</f>
        <v>26646.2</v>
      </c>
      <c r="I503" s="116"/>
    </row>
    <row r="504" spans="1:9" s="5" customFormat="1" ht="33.75" customHeight="1">
      <c r="A504" s="44" t="s">
        <v>499</v>
      </c>
      <c r="B504" s="8" t="s">
        <v>162</v>
      </c>
      <c r="C504" s="8" t="s">
        <v>570</v>
      </c>
      <c r="D504" s="8"/>
      <c r="E504" s="55">
        <f aca="true" t="shared" si="11" ref="E504:H505">E505</f>
        <v>16697.7</v>
      </c>
      <c r="F504" s="55">
        <f t="shared" si="11"/>
        <v>16697.7</v>
      </c>
      <c r="G504" s="55">
        <f t="shared" si="11"/>
        <v>0</v>
      </c>
      <c r="H504" s="55">
        <f t="shared" si="11"/>
        <v>0</v>
      </c>
      <c r="I504" s="116"/>
    </row>
    <row r="505" spans="1:9" s="5" customFormat="1" ht="31.5" customHeight="1">
      <c r="A505" s="44" t="s">
        <v>339</v>
      </c>
      <c r="B505" s="8" t="s">
        <v>162</v>
      </c>
      <c r="C505" s="8" t="s">
        <v>570</v>
      </c>
      <c r="D505" s="8" t="s">
        <v>409</v>
      </c>
      <c r="E505" s="55">
        <f t="shared" si="11"/>
        <v>16697.7</v>
      </c>
      <c r="F505" s="55">
        <f t="shared" si="11"/>
        <v>16697.7</v>
      </c>
      <c r="G505" s="55">
        <f t="shared" si="11"/>
        <v>0</v>
      </c>
      <c r="H505" s="55">
        <f t="shared" si="11"/>
        <v>0</v>
      </c>
      <c r="I505" s="116"/>
    </row>
    <row r="506" spans="1:9" s="5" customFormat="1" ht="19.5" customHeight="1">
      <c r="A506" s="44" t="s">
        <v>410</v>
      </c>
      <c r="B506" s="8" t="s">
        <v>162</v>
      </c>
      <c r="C506" s="8" t="s">
        <v>570</v>
      </c>
      <c r="D506" s="8" t="s">
        <v>414</v>
      </c>
      <c r="E506" s="55">
        <v>16697.7</v>
      </c>
      <c r="F506" s="55">
        <f>E506</f>
        <v>16697.7</v>
      </c>
      <c r="G506" s="55">
        <v>0</v>
      </c>
      <c r="H506" s="55">
        <f>G506</f>
        <v>0</v>
      </c>
      <c r="I506" s="116"/>
    </row>
    <row r="507" spans="1:9" s="5" customFormat="1" ht="45.75" customHeight="1">
      <c r="A507" s="44" t="s">
        <v>565</v>
      </c>
      <c r="B507" s="8" t="s">
        <v>162</v>
      </c>
      <c r="C507" s="8" t="s">
        <v>571</v>
      </c>
      <c r="D507" s="8"/>
      <c r="E507" s="55">
        <f>E508</f>
        <v>6655.7</v>
      </c>
      <c r="F507" s="55"/>
      <c r="G507" s="55">
        <f>G508</f>
        <v>0</v>
      </c>
      <c r="H507" s="55"/>
      <c r="I507" s="116"/>
    </row>
    <row r="508" spans="1:9" s="5" customFormat="1" ht="33.75" customHeight="1">
      <c r="A508" s="44" t="s">
        <v>339</v>
      </c>
      <c r="B508" s="8" t="s">
        <v>162</v>
      </c>
      <c r="C508" s="8" t="s">
        <v>571</v>
      </c>
      <c r="D508" s="8" t="s">
        <v>409</v>
      </c>
      <c r="E508" s="55">
        <f>E509</f>
        <v>6655.7</v>
      </c>
      <c r="F508" s="55"/>
      <c r="G508" s="55">
        <f>G509</f>
        <v>0</v>
      </c>
      <c r="H508" s="55"/>
      <c r="I508" s="116"/>
    </row>
    <row r="509" spans="1:9" s="5" customFormat="1" ht="21" customHeight="1">
      <c r="A509" s="44" t="s">
        <v>410</v>
      </c>
      <c r="B509" s="8" t="s">
        <v>162</v>
      </c>
      <c r="C509" s="8" t="s">
        <v>571</v>
      </c>
      <c r="D509" s="8" t="s">
        <v>414</v>
      </c>
      <c r="E509" s="55">
        <f>6655.7</f>
        <v>6655.7</v>
      </c>
      <c r="F509" s="55"/>
      <c r="G509" s="55">
        <v>0</v>
      </c>
      <c r="H509" s="55"/>
      <c r="I509" s="116"/>
    </row>
    <row r="510" spans="1:9" s="5" customFormat="1" ht="48" customHeight="1">
      <c r="A510" s="44" t="s">
        <v>631</v>
      </c>
      <c r="B510" s="8" t="s">
        <v>162</v>
      </c>
      <c r="C510" s="8" t="s">
        <v>630</v>
      </c>
      <c r="D510" s="8"/>
      <c r="E510" s="55">
        <f aca="true" t="shared" si="12" ref="E510:H511">E511</f>
        <v>26646.2</v>
      </c>
      <c r="F510" s="55">
        <f t="shared" si="12"/>
        <v>26646.2</v>
      </c>
      <c r="G510" s="55">
        <f t="shared" si="12"/>
        <v>26646.2</v>
      </c>
      <c r="H510" s="55">
        <f t="shared" si="12"/>
        <v>26646.2</v>
      </c>
      <c r="I510" s="116"/>
    </row>
    <row r="511" spans="1:9" s="5" customFormat="1" ht="28.5" customHeight="1">
      <c r="A511" s="44" t="s">
        <v>339</v>
      </c>
      <c r="B511" s="8" t="s">
        <v>162</v>
      </c>
      <c r="C511" s="8" t="s">
        <v>630</v>
      </c>
      <c r="D511" s="8" t="s">
        <v>409</v>
      </c>
      <c r="E511" s="55">
        <f t="shared" si="12"/>
        <v>26646.2</v>
      </c>
      <c r="F511" s="55">
        <f t="shared" si="12"/>
        <v>26646.2</v>
      </c>
      <c r="G511" s="55">
        <f t="shared" si="12"/>
        <v>26646.2</v>
      </c>
      <c r="H511" s="55">
        <f t="shared" si="12"/>
        <v>26646.2</v>
      </c>
      <c r="I511" s="116"/>
    </row>
    <row r="512" spans="1:9" s="5" customFormat="1" ht="21" customHeight="1">
      <c r="A512" s="44" t="s">
        <v>410</v>
      </c>
      <c r="B512" s="8" t="s">
        <v>162</v>
      </c>
      <c r="C512" s="8" t="s">
        <v>630</v>
      </c>
      <c r="D512" s="8" t="s">
        <v>414</v>
      </c>
      <c r="E512" s="55">
        <v>26646.2</v>
      </c>
      <c r="F512" s="55">
        <v>26646.2</v>
      </c>
      <c r="G512" s="55">
        <v>26646.2</v>
      </c>
      <c r="H512" s="55">
        <f>G512</f>
        <v>26646.2</v>
      </c>
      <c r="I512" s="116"/>
    </row>
    <row r="513" spans="1:9" s="5" customFormat="1" ht="33.75" customHeight="1">
      <c r="A513" s="66" t="s">
        <v>568</v>
      </c>
      <c r="B513" s="8" t="s">
        <v>162</v>
      </c>
      <c r="C513" s="8" t="s">
        <v>569</v>
      </c>
      <c r="D513" s="8"/>
      <c r="E513" s="55">
        <f>E514+E526+E529+E532+E538+E517+E535+E523+E520</f>
        <v>224136.30000000002</v>
      </c>
      <c r="F513" s="55">
        <f>F514+F526+F529+F532+F538+F517+F535+F523+F520</f>
        <v>29550</v>
      </c>
      <c r="G513" s="55">
        <f>G514+G526+G529+G532+G538+G517+G535+G523+G520</f>
        <v>51227</v>
      </c>
      <c r="H513" s="55">
        <f>H514+H526+H529+H532+H538+H517+H535+H523+H520</f>
        <v>1227</v>
      </c>
      <c r="I513" s="116"/>
    </row>
    <row r="514" spans="1:9" s="5" customFormat="1" ht="32.25" customHeight="1">
      <c r="A514" s="44" t="s">
        <v>500</v>
      </c>
      <c r="B514" s="8" t="s">
        <v>162</v>
      </c>
      <c r="C514" s="8" t="s">
        <v>572</v>
      </c>
      <c r="D514" s="8"/>
      <c r="E514" s="55">
        <f aca="true" t="shared" si="13" ref="E514:H515">E515</f>
        <v>25793.9</v>
      </c>
      <c r="F514" s="55">
        <f t="shared" si="13"/>
        <v>25793.9</v>
      </c>
      <c r="G514" s="55">
        <f t="shared" si="13"/>
        <v>0</v>
      </c>
      <c r="H514" s="55">
        <f t="shared" si="13"/>
        <v>0</v>
      </c>
      <c r="I514" s="116"/>
    </row>
    <row r="515" spans="1:9" s="5" customFormat="1" ht="30.75" customHeight="1">
      <c r="A515" s="44" t="s">
        <v>339</v>
      </c>
      <c r="B515" s="8" t="s">
        <v>162</v>
      </c>
      <c r="C515" s="8" t="s">
        <v>572</v>
      </c>
      <c r="D515" s="8" t="s">
        <v>409</v>
      </c>
      <c r="E515" s="55">
        <f t="shared" si="13"/>
        <v>25793.9</v>
      </c>
      <c r="F515" s="55">
        <f t="shared" si="13"/>
        <v>25793.9</v>
      </c>
      <c r="G515" s="55">
        <f t="shared" si="13"/>
        <v>0</v>
      </c>
      <c r="H515" s="55">
        <f t="shared" si="13"/>
        <v>0</v>
      </c>
      <c r="I515" s="116"/>
    </row>
    <row r="516" spans="1:9" s="5" customFormat="1" ht="25.5" customHeight="1">
      <c r="A516" s="44" t="s">
        <v>410</v>
      </c>
      <c r="B516" s="8" t="s">
        <v>162</v>
      </c>
      <c r="C516" s="8" t="s">
        <v>572</v>
      </c>
      <c r="D516" s="8" t="s">
        <v>414</v>
      </c>
      <c r="E516" s="55">
        <v>25793.9</v>
      </c>
      <c r="F516" s="55">
        <f>E516</f>
        <v>25793.9</v>
      </c>
      <c r="G516" s="55">
        <v>0</v>
      </c>
      <c r="H516" s="55">
        <f>G516</f>
        <v>0</v>
      </c>
      <c r="I516" s="116"/>
    </row>
    <row r="517" spans="1:9" s="5" customFormat="1" ht="63" customHeight="1">
      <c r="A517" s="44" t="s">
        <v>632</v>
      </c>
      <c r="B517" s="8" t="s">
        <v>162</v>
      </c>
      <c r="C517" s="8" t="s">
        <v>624</v>
      </c>
      <c r="D517" s="8"/>
      <c r="E517" s="55">
        <f aca="true" t="shared" si="14" ref="E517:H518">E518</f>
        <v>1227</v>
      </c>
      <c r="F517" s="55">
        <f t="shared" si="14"/>
        <v>1227</v>
      </c>
      <c r="G517" s="55">
        <f t="shared" si="14"/>
        <v>1227</v>
      </c>
      <c r="H517" s="55">
        <f t="shared" si="14"/>
        <v>1227</v>
      </c>
      <c r="I517" s="116"/>
    </row>
    <row r="518" spans="1:9" s="5" customFormat="1" ht="25.5" customHeight="1">
      <c r="A518" s="44" t="s">
        <v>175</v>
      </c>
      <c r="B518" s="8" t="s">
        <v>162</v>
      </c>
      <c r="C518" s="8" t="s">
        <v>624</v>
      </c>
      <c r="D518" s="8" t="s">
        <v>174</v>
      </c>
      <c r="E518" s="55">
        <f t="shared" si="14"/>
        <v>1227</v>
      </c>
      <c r="F518" s="55">
        <f t="shared" si="14"/>
        <v>1227</v>
      </c>
      <c r="G518" s="55">
        <f t="shared" si="14"/>
        <v>1227</v>
      </c>
      <c r="H518" s="55">
        <f t="shared" si="14"/>
        <v>1227</v>
      </c>
      <c r="I518" s="116"/>
    </row>
    <row r="519" spans="1:9" s="5" customFormat="1" ht="29.25" customHeight="1">
      <c r="A519" s="44" t="s">
        <v>177</v>
      </c>
      <c r="B519" s="8" t="s">
        <v>162</v>
      </c>
      <c r="C519" s="8" t="s">
        <v>624</v>
      </c>
      <c r="D519" s="8" t="s">
        <v>176</v>
      </c>
      <c r="E519" s="55">
        <v>1227</v>
      </c>
      <c r="F519" s="55">
        <v>1227</v>
      </c>
      <c r="G519" s="55">
        <v>1227</v>
      </c>
      <c r="H519" s="55">
        <f>G519</f>
        <v>1227</v>
      </c>
      <c r="I519" s="116"/>
    </row>
    <row r="520" spans="1:9" s="5" customFormat="1" ht="74.25" customHeight="1">
      <c r="A520" s="44" t="s">
        <v>716</v>
      </c>
      <c r="B520" s="8" t="s">
        <v>162</v>
      </c>
      <c r="C520" s="8" t="s">
        <v>624</v>
      </c>
      <c r="D520" s="8"/>
      <c r="E520" s="55">
        <f aca="true" t="shared" si="15" ref="E520:H521">E521</f>
        <v>2529.1</v>
      </c>
      <c r="F520" s="55">
        <f t="shared" si="15"/>
        <v>2529.1</v>
      </c>
      <c r="G520" s="55">
        <f t="shared" si="15"/>
        <v>0</v>
      </c>
      <c r="H520" s="55">
        <f t="shared" si="15"/>
        <v>0</v>
      </c>
      <c r="I520" s="116"/>
    </row>
    <row r="521" spans="1:9" s="5" customFormat="1" ht="23.25" customHeight="1">
      <c r="A521" s="44" t="s">
        <v>175</v>
      </c>
      <c r="B521" s="8" t="s">
        <v>162</v>
      </c>
      <c r="C521" s="8" t="s">
        <v>624</v>
      </c>
      <c r="D521" s="8" t="s">
        <v>174</v>
      </c>
      <c r="E521" s="55">
        <f t="shared" si="15"/>
        <v>2529.1</v>
      </c>
      <c r="F521" s="55">
        <f t="shared" si="15"/>
        <v>2529.1</v>
      </c>
      <c r="G521" s="55">
        <f t="shared" si="15"/>
        <v>0</v>
      </c>
      <c r="H521" s="55">
        <f t="shared" si="15"/>
        <v>0</v>
      </c>
      <c r="I521" s="116"/>
    </row>
    <row r="522" spans="1:9" s="5" customFormat="1" ht="29.25" customHeight="1">
      <c r="A522" s="44" t="s">
        <v>177</v>
      </c>
      <c r="B522" s="8" t="s">
        <v>162</v>
      </c>
      <c r="C522" s="8" t="s">
        <v>624</v>
      </c>
      <c r="D522" s="8" t="s">
        <v>176</v>
      </c>
      <c r="E522" s="55">
        <f>2529.1</f>
        <v>2529.1</v>
      </c>
      <c r="F522" s="55">
        <f>E522</f>
        <v>2529.1</v>
      </c>
      <c r="G522" s="55">
        <v>0</v>
      </c>
      <c r="H522" s="55">
        <f>G522</f>
        <v>0</v>
      </c>
      <c r="I522" s="116"/>
    </row>
    <row r="523" spans="1:9" s="5" customFormat="1" ht="75" customHeight="1">
      <c r="A523" s="44" t="s">
        <v>717</v>
      </c>
      <c r="B523" s="8" t="s">
        <v>162</v>
      </c>
      <c r="C523" s="8" t="s">
        <v>707</v>
      </c>
      <c r="D523" s="8"/>
      <c r="E523" s="55">
        <f>E524</f>
        <v>133.1</v>
      </c>
      <c r="F523" s="55"/>
      <c r="G523" s="55">
        <f>G524</f>
        <v>0</v>
      </c>
      <c r="H523" s="55"/>
      <c r="I523" s="116"/>
    </row>
    <row r="524" spans="1:9" s="5" customFormat="1" ht="22.5" customHeight="1">
      <c r="A524" s="44" t="s">
        <v>175</v>
      </c>
      <c r="B524" s="8" t="s">
        <v>162</v>
      </c>
      <c r="C524" s="8" t="s">
        <v>707</v>
      </c>
      <c r="D524" s="8" t="s">
        <v>174</v>
      </c>
      <c r="E524" s="55">
        <f>E525</f>
        <v>133.1</v>
      </c>
      <c r="F524" s="55"/>
      <c r="G524" s="55">
        <f>G525</f>
        <v>0</v>
      </c>
      <c r="H524" s="55"/>
      <c r="I524" s="116"/>
    </row>
    <row r="525" spans="1:9" s="5" customFormat="1" ht="29.25" customHeight="1">
      <c r="A525" s="44" t="s">
        <v>177</v>
      </c>
      <c r="B525" s="8" t="s">
        <v>162</v>
      </c>
      <c r="C525" s="8" t="s">
        <v>707</v>
      </c>
      <c r="D525" s="8" t="s">
        <v>176</v>
      </c>
      <c r="E525" s="55">
        <f>133.1</f>
        <v>133.1</v>
      </c>
      <c r="F525" s="55"/>
      <c r="G525" s="55">
        <v>0</v>
      </c>
      <c r="H525" s="55"/>
      <c r="I525" s="116"/>
    </row>
    <row r="526" spans="1:9" s="5" customFormat="1" ht="31.5" customHeight="1">
      <c r="A526" s="44" t="s">
        <v>564</v>
      </c>
      <c r="B526" s="8" t="s">
        <v>162</v>
      </c>
      <c r="C526" s="8" t="s">
        <v>574</v>
      </c>
      <c r="D526" s="8"/>
      <c r="E526" s="55">
        <f>E527</f>
        <v>10389.2</v>
      </c>
      <c r="F526" s="55"/>
      <c r="G526" s="55">
        <f>G527</f>
        <v>0</v>
      </c>
      <c r="H526" s="55"/>
      <c r="I526" s="116"/>
    </row>
    <row r="527" spans="1:9" s="5" customFormat="1" ht="33" customHeight="1">
      <c r="A527" s="44" t="s">
        <v>339</v>
      </c>
      <c r="B527" s="8" t="s">
        <v>162</v>
      </c>
      <c r="C527" s="8" t="s">
        <v>574</v>
      </c>
      <c r="D527" s="8" t="s">
        <v>409</v>
      </c>
      <c r="E527" s="55">
        <f>E528</f>
        <v>10389.2</v>
      </c>
      <c r="F527" s="55"/>
      <c r="G527" s="55">
        <f>G528</f>
        <v>0</v>
      </c>
      <c r="H527" s="55"/>
      <c r="I527" s="116"/>
    </row>
    <row r="528" spans="1:9" s="5" customFormat="1" ht="25.5" customHeight="1">
      <c r="A528" s="44" t="s">
        <v>410</v>
      </c>
      <c r="B528" s="8" t="s">
        <v>162</v>
      </c>
      <c r="C528" s="8" t="s">
        <v>574</v>
      </c>
      <c r="D528" s="8" t="s">
        <v>414</v>
      </c>
      <c r="E528" s="55">
        <f>5950+4439.2</f>
        <v>10389.2</v>
      </c>
      <c r="F528" s="55"/>
      <c r="G528" s="55">
        <v>0</v>
      </c>
      <c r="H528" s="55"/>
      <c r="I528" s="116"/>
    </row>
    <row r="529" spans="1:9" s="5" customFormat="1" ht="22.5" customHeight="1">
      <c r="A529" s="44" t="s">
        <v>584</v>
      </c>
      <c r="B529" s="8" t="s">
        <v>162</v>
      </c>
      <c r="C529" s="8" t="s">
        <v>585</v>
      </c>
      <c r="D529" s="8"/>
      <c r="E529" s="55">
        <f>E530</f>
        <v>3064</v>
      </c>
      <c r="F529" s="55"/>
      <c r="G529" s="55">
        <f>G530</f>
        <v>0</v>
      </c>
      <c r="H529" s="55"/>
      <c r="I529" s="116"/>
    </row>
    <row r="530" spans="1:9" s="5" customFormat="1" ht="25.5" customHeight="1">
      <c r="A530" s="44" t="s">
        <v>175</v>
      </c>
      <c r="B530" s="8" t="s">
        <v>162</v>
      </c>
      <c r="C530" s="8" t="s">
        <v>585</v>
      </c>
      <c r="D530" s="8" t="s">
        <v>174</v>
      </c>
      <c r="E530" s="55">
        <f>E531</f>
        <v>3064</v>
      </c>
      <c r="F530" s="55"/>
      <c r="G530" s="55">
        <f>G531</f>
        <v>0</v>
      </c>
      <c r="H530" s="55"/>
      <c r="I530" s="116"/>
    </row>
    <row r="531" spans="1:9" s="5" customFormat="1" ht="34.5" customHeight="1">
      <c r="A531" s="44" t="s">
        <v>177</v>
      </c>
      <c r="B531" s="8" t="s">
        <v>162</v>
      </c>
      <c r="C531" s="8" t="s">
        <v>585</v>
      </c>
      <c r="D531" s="8" t="s">
        <v>176</v>
      </c>
      <c r="E531" s="55">
        <f>3064+125.4-125.4</f>
        <v>3064</v>
      </c>
      <c r="F531" s="55"/>
      <c r="G531" s="55">
        <v>0</v>
      </c>
      <c r="H531" s="55"/>
      <c r="I531" s="116"/>
    </row>
    <row r="532" spans="1:9" s="5" customFormat="1" ht="60" customHeight="1">
      <c r="A532" s="56" t="s">
        <v>735</v>
      </c>
      <c r="B532" s="37" t="s">
        <v>162</v>
      </c>
      <c r="C532" s="8" t="s">
        <v>685</v>
      </c>
      <c r="D532" s="37"/>
      <c r="E532" s="38">
        <f>E533</f>
        <v>28000</v>
      </c>
      <c r="F532" s="11"/>
      <c r="G532" s="38">
        <f>G533</f>
        <v>0</v>
      </c>
      <c r="H532" s="11"/>
      <c r="I532" s="116"/>
    </row>
    <row r="533" spans="1:9" s="5" customFormat="1" ht="21.75" customHeight="1">
      <c r="A533" s="56" t="s">
        <v>179</v>
      </c>
      <c r="B533" s="37" t="s">
        <v>162</v>
      </c>
      <c r="C533" s="8" t="s">
        <v>685</v>
      </c>
      <c r="D533" s="8" t="s">
        <v>178</v>
      </c>
      <c r="E533" s="38">
        <f>E534</f>
        <v>28000</v>
      </c>
      <c r="F533" s="11"/>
      <c r="G533" s="38">
        <f>G534</f>
        <v>0</v>
      </c>
      <c r="H533" s="11"/>
      <c r="I533" s="116"/>
    </row>
    <row r="534" spans="1:9" s="5" customFormat="1" ht="48" customHeight="1">
      <c r="A534" s="40" t="s">
        <v>304</v>
      </c>
      <c r="B534" s="37" t="s">
        <v>162</v>
      </c>
      <c r="C534" s="8" t="s">
        <v>685</v>
      </c>
      <c r="D534" s="8" t="s">
        <v>51</v>
      </c>
      <c r="E534" s="38">
        <v>28000</v>
      </c>
      <c r="F534" s="11"/>
      <c r="G534" s="38">
        <v>0</v>
      </c>
      <c r="H534" s="11"/>
      <c r="I534" s="116"/>
    </row>
    <row r="535" spans="1:9" s="5" customFormat="1" ht="61.5" customHeight="1">
      <c r="A535" s="56" t="s">
        <v>687</v>
      </c>
      <c r="B535" s="37" t="s">
        <v>162</v>
      </c>
      <c r="C535" s="8" t="s">
        <v>686</v>
      </c>
      <c r="D535" s="8"/>
      <c r="E535" s="55">
        <f>E536</f>
        <v>5000</v>
      </c>
      <c r="F535" s="10"/>
      <c r="G535" s="55">
        <f>G536</f>
        <v>0</v>
      </c>
      <c r="H535" s="10"/>
      <c r="I535" s="116"/>
    </row>
    <row r="536" spans="1:9" s="5" customFormat="1" ht="24.75" customHeight="1">
      <c r="A536" s="56" t="s">
        <v>179</v>
      </c>
      <c r="B536" s="8" t="s">
        <v>162</v>
      </c>
      <c r="C536" s="8" t="s">
        <v>686</v>
      </c>
      <c r="D536" s="8" t="s">
        <v>178</v>
      </c>
      <c r="E536" s="55">
        <f>E537</f>
        <v>5000</v>
      </c>
      <c r="F536" s="10"/>
      <c r="G536" s="55">
        <f>G537</f>
        <v>0</v>
      </c>
      <c r="H536" s="10"/>
      <c r="I536" s="116"/>
    </row>
    <row r="537" spans="1:9" s="5" customFormat="1" ht="48.75" customHeight="1">
      <c r="A537" s="40" t="s">
        <v>304</v>
      </c>
      <c r="B537" s="8" t="s">
        <v>162</v>
      </c>
      <c r="C537" s="8" t="s">
        <v>686</v>
      </c>
      <c r="D537" s="8" t="s">
        <v>51</v>
      </c>
      <c r="E537" s="55">
        <f>5000</f>
        <v>5000</v>
      </c>
      <c r="F537" s="10"/>
      <c r="G537" s="55">
        <v>0</v>
      </c>
      <c r="H537" s="10"/>
      <c r="I537" s="116"/>
    </row>
    <row r="538" spans="1:9" s="5" customFormat="1" ht="90.75" customHeight="1">
      <c r="A538" s="34" t="s">
        <v>734</v>
      </c>
      <c r="B538" s="8" t="s">
        <v>162</v>
      </c>
      <c r="C538" s="8" t="s">
        <v>591</v>
      </c>
      <c r="D538" s="8"/>
      <c r="E538" s="55">
        <f>E539</f>
        <v>148000</v>
      </c>
      <c r="F538" s="55"/>
      <c r="G538" s="55">
        <f>G539</f>
        <v>50000</v>
      </c>
      <c r="H538" s="55"/>
      <c r="I538" s="116"/>
    </row>
    <row r="539" spans="1:9" s="5" customFormat="1" ht="20.25" customHeight="1">
      <c r="A539" s="56" t="s">
        <v>179</v>
      </c>
      <c r="B539" s="8" t="s">
        <v>162</v>
      </c>
      <c r="C539" s="8" t="s">
        <v>591</v>
      </c>
      <c r="D539" s="8" t="s">
        <v>178</v>
      </c>
      <c r="E539" s="55">
        <f>E540</f>
        <v>148000</v>
      </c>
      <c r="F539" s="55"/>
      <c r="G539" s="55">
        <f>G540</f>
        <v>50000</v>
      </c>
      <c r="H539" s="55"/>
      <c r="I539" s="116"/>
    </row>
    <row r="540" spans="1:9" s="5" customFormat="1" ht="46.5" customHeight="1">
      <c r="A540" s="40" t="s">
        <v>620</v>
      </c>
      <c r="B540" s="8" t="s">
        <v>162</v>
      </c>
      <c r="C540" s="8" t="s">
        <v>591</v>
      </c>
      <c r="D540" s="8" t="s">
        <v>619</v>
      </c>
      <c r="E540" s="55">
        <f>50000+98000</f>
        <v>148000</v>
      </c>
      <c r="F540" s="55"/>
      <c r="G540" s="55">
        <v>50000</v>
      </c>
      <c r="H540" s="55"/>
      <c r="I540" s="116"/>
    </row>
    <row r="541" spans="1:9" s="5" customFormat="1" ht="33" customHeight="1">
      <c r="A541" s="34" t="s">
        <v>573</v>
      </c>
      <c r="B541" s="8" t="s">
        <v>162</v>
      </c>
      <c r="C541" s="8" t="s">
        <v>575</v>
      </c>
      <c r="D541" s="8"/>
      <c r="E541" s="48">
        <f>E542+E545</f>
        <v>1841.1</v>
      </c>
      <c r="F541" s="48"/>
      <c r="G541" s="48">
        <f>G542+G545</f>
        <v>955.2</v>
      </c>
      <c r="H541" s="48"/>
      <c r="I541" s="116"/>
    </row>
    <row r="542" spans="1:9" s="5" customFormat="1" ht="33.75" customHeight="1">
      <c r="A542" s="56" t="s">
        <v>576</v>
      </c>
      <c r="B542" s="8" t="s">
        <v>162</v>
      </c>
      <c r="C542" s="46" t="s">
        <v>577</v>
      </c>
      <c r="D542" s="46"/>
      <c r="E542" s="51">
        <f>E543</f>
        <v>1000</v>
      </c>
      <c r="F542" s="51"/>
      <c r="G542" s="51">
        <f>G543</f>
        <v>114.1</v>
      </c>
      <c r="H542" s="51"/>
      <c r="I542" s="116"/>
    </row>
    <row r="543" spans="1:9" s="5" customFormat="1" ht="21.75" customHeight="1">
      <c r="A543" s="44" t="s">
        <v>175</v>
      </c>
      <c r="B543" s="8" t="s">
        <v>162</v>
      </c>
      <c r="C543" s="46" t="s">
        <v>577</v>
      </c>
      <c r="D543" s="46" t="s">
        <v>174</v>
      </c>
      <c r="E543" s="51">
        <f>E544</f>
        <v>1000</v>
      </c>
      <c r="F543" s="51"/>
      <c r="G543" s="51">
        <f>G544</f>
        <v>114.1</v>
      </c>
      <c r="H543" s="51"/>
      <c r="I543" s="116"/>
    </row>
    <row r="544" spans="1:9" s="5" customFormat="1" ht="31.5" customHeight="1">
      <c r="A544" s="44" t="s">
        <v>177</v>
      </c>
      <c r="B544" s="8" t="s">
        <v>162</v>
      </c>
      <c r="C544" s="46" t="s">
        <v>577</v>
      </c>
      <c r="D544" s="46" t="s">
        <v>176</v>
      </c>
      <c r="E544" s="51">
        <v>1000</v>
      </c>
      <c r="F544" s="51"/>
      <c r="G544" s="51">
        <v>114.1</v>
      </c>
      <c r="H544" s="51"/>
      <c r="I544" s="116"/>
    </row>
    <row r="545" spans="1:9" s="5" customFormat="1" ht="32.25" customHeight="1">
      <c r="A545" s="56" t="s">
        <v>628</v>
      </c>
      <c r="B545" s="8" t="s">
        <v>162</v>
      </c>
      <c r="C545" s="46" t="s">
        <v>627</v>
      </c>
      <c r="D545" s="46"/>
      <c r="E545" s="51">
        <f>E546</f>
        <v>841.1</v>
      </c>
      <c r="F545" s="51"/>
      <c r="G545" s="51">
        <f>G546</f>
        <v>841.1</v>
      </c>
      <c r="H545" s="51"/>
      <c r="I545" s="116"/>
    </row>
    <row r="546" spans="1:9" s="5" customFormat="1" ht="19.5" customHeight="1">
      <c r="A546" s="44" t="s">
        <v>175</v>
      </c>
      <c r="B546" s="8" t="s">
        <v>162</v>
      </c>
      <c r="C546" s="46" t="s">
        <v>627</v>
      </c>
      <c r="D546" s="46" t="s">
        <v>174</v>
      </c>
      <c r="E546" s="51">
        <f>E547</f>
        <v>841.1</v>
      </c>
      <c r="F546" s="51"/>
      <c r="G546" s="51">
        <f>G547</f>
        <v>841.1</v>
      </c>
      <c r="H546" s="51"/>
      <c r="I546" s="116"/>
    </row>
    <row r="547" spans="1:9" s="5" customFormat="1" ht="31.5" customHeight="1">
      <c r="A547" s="44" t="s">
        <v>177</v>
      </c>
      <c r="B547" s="8" t="s">
        <v>162</v>
      </c>
      <c r="C547" s="46" t="s">
        <v>627</v>
      </c>
      <c r="D547" s="46" t="s">
        <v>176</v>
      </c>
      <c r="E547" s="51">
        <f>841.1</f>
        <v>841.1</v>
      </c>
      <c r="F547" s="51"/>
      <c r="G547" s="51">
        <v>841.1</v>
      </c>
      <c r="H547" s="51"/>
      <c r="I547" s="116"/>
    </row>
    <row r="548" spans="1:9" s="5" customFormat="1" ht="44.25" customHeight="1">
      <c r="A548" s="41" t="s">
        <v>219</v>
      </c>
      <c r="B548" s="8" t="s">
        <v>162</v>
      </c>
      <c r="C548" s="46" t="s">
        <v>187</v>
      </c>
      <c r="D548" s="8"/>
      <c r="E548" s="55">
        <f>E550</f>
        <v>20159.9</v>
      </c>
      <c r="F548" s="10"/>
      <c r="G548" s="55">
        <f>G550</f>
        <v>224.4</v>
      </c>
      <c r="H548" s="10"/>
      <c r="I548" s="116"/>
    </row>
    <row r="549" spans="1:9" s="5" customFormat="1" ht="48.75" customHeight="1">
      <c r="A549" s="41" t="s">
        <v>341</v>
      </c>
      <c r="B549" s="8" t="s">
        <v>162</v>
      </c>
      <c r="C549" s="46" t="s">
        <v>188</v>
      </c>
      <c r="D549" s="8"/>
      <c r="E549" s="55">
        <f>E550</f>
        <v>20159.9</v>
      </c>
      <c r="F549" s="10"/>
      <c r="G549" s="55">
        <f>G550</f>
        <v>224.4</v>
      </c>
      <c r="H549" s="10"/>
      <c r="I549" s="116"/>
    </row>
    <row r="550" spans="1:9" s="5" customFormat="1" ht="18.75" customHeight="1">
      <c r="A550" s="44" t="s">
        <v>175</v>
      </c>
      <c r="B550" s="8" t="s">
        <v>162</v>
      </c>
      <c r="C550" s="46" t="s">
        <v>188</v>
      </c>
      <c r="D550" s="8" t="s">
        <v>174</v>
      </c>
      <c r="E550" s="55">
        <f>E551</f>
        <v>20159.9</v>
      </c>
      <c r="F550" s="10"/>
      <c r="G550" s="55">
        <f>G551</f>
        <v>224.4</v>
      </c>
      <c r="H550" s="10"/>
      <c r="I550" s="116"/>
    </row>
    <row r="551" spans="1:9" s="5" customFormat="1" ht="33.75" customHeight="1">
      <c r="A551" s="44" t="s">
        <v>177</v>
      </c>
      <c r="B551" s="8" t="s">
        <v>162</v>
      </c>
      <c r="C551" s="46" t="s">
        <v>188</v>
      </c>
      <c r="D551" s="8" t="s">
        <v>176</v>
      </c>
      <c r="E551" s="55">
        <f>12050+5917.7+2192.2</f>
        <v>20159.9</v>
      </c>
      <c r="F551" s="10"/>
      <c r="G551" s="55">
        <v>224.4</v>
      </c>
      <c r="H551" s="10"/>
      <c r="I551" s="116"/>
    </row>
    <row r="552" spans="1:9" s="5" customFormat="1" ht="20.25" customHeight="1">
      <c r="A552" s="59" t="s">
        <v>16</v>
      </c>
      <c r="B552" s="60" t="s">
        <v>15</v>
      </c>
      <c r="C552" s="60"/>
      <c r="D552" s="60"/>
      <c r="E552" s="10">
        <f>E565+E553+E557+E561</f>
        <v>40124.6</v>
      </c>
      <c r="F552" s="10">
        <f>F565+F553</f>
        <v>3023</v>
      </c>
      <c r="G552" s="10">
        <f>G565+G553+G557+G561</f>
        <v>11482.500000000002</v>
      </c>
      <c r="H552" s="10">
        <f>H565+H553</f>
        <v>382.4</v>
      </c>
      <c r="I552" s="116"/>
    </row>
    <row r="553" spans="1:9" s="5" customFormat="1" ht="78.75" customHeight="1">
      <c r="A553" s="34" t="s">
        <v>279</v>
      </c>
      <c r="B553" s="45" t="s">
        <v>15</v>
      </c>
      <c r="C553" s="46" t="s">
        <v>37</v>
      </c>
      <c r="D553" s="46"/>
      <c r="E553" s="51">
        <f aca="true" t="shared" si="16" ref="E553:H555">E554</f>
        <v>3023</v>
      </c>
      <c r="F553" s="51">
        <f t="shared" si="16"/>
        <v>3023</v>
      </c>
      <c r="G553" s="51">
        <f t="shared" si="16"/>
        <v>382.4</v>
      </c>
      <c r="H553" s="51">
        <f t="shared" si="16"/>
        <v>382.4</v>
      </c>
      <c r="I553" s="116"/>
    </row>
    <row r="554" spans="1:9" s="5" customFormat="1" ht="61.5" customHeight="1">
      <c r="A554" s="44" t="s">
        <v>263</v>
      </c>
      <c r="B554" s="45" t="s">
        <v>15</v>
      </c>
      <c r="C554" s="46" t="s">
        <v>508</v>
      </c>
      <c r="D554" s="46"/>
      <c r="E554" s="51">
        <f t="shared" si="16"/>
        <v>3023</v>
      </c>
      <c r="F554" s="51">
        <f t="shared" si="16"/>
        <v>3023</v>
      </c>
      <c r="G554" s="51">
        <f t="shared" si="16"/>
        <v>382.4</v>
      </c>
      <c r="H554" s="51">
        <f t="shared" si="16"/>
        <v>382.4</v>
      </c>
      <c r="I554" s="116"/>
    </row>
    <row r="555" spans="1:9" s="5" customFormat="1" ht="20.25" customHeight="1">
      <c r="A555" s="44" t="s">
        <v>175</v>
      </c>
      <c r="B555" s="45" t="s">
        <v>15</v>
      </c>
      <c r="C555" s="46" t="s">
        <v>508</v>
      </c>
      <c r="D555" s="46" t="s">
        <v>174</v>
      </c>
      <c r="E555" s="51">
        <f t="shared" si="16"/>
        <v>3023</v>
      </c>
      <c r="F555" s="51">
        <f t="shared" si="16"/>
        <v>3023</v>
      </c>
      <c r="G555" s="51">
        <f t="shared" si="16"/>
        <v>382.4</v>
      </c>
      <c r="H555" s="51">
        <f t="shared" si="16"/>
        <v>382.4</v>
      </c>
      <c r="I555" s="116"/>
    </row>
    <row r="556" spans="1:9" s="5" customFormat="1" ht="36" customHeight="1">
      <c r="A556" s="56" t="s">
        <v>177</v>
      </c>
      <c r="B556" s="45" t="s">
        <v>15</v>
      </c>
      <c r="C556" s="46" t="s">
        <v>508</v>
      </c>
      <c r="D556" s="45" t="s">
        <v>176</v>
      </c>
      <c r="E556" s="48">
        <f>3738-715</f>
        <v>3023</v>
      </c>
      <c r="F556" s="48">
        <f>E556</f>
        <v>3023</v>
      </c>
      <c r="G556" s="48">
        <v>382.4</v>
      </c>
      <c r="H556" s="48">
        <f>G556</f>
        <v>382.4</v>
      </c>
      <c r="I556" s="116"/>
    </row>
    <row r="557" spans="1:9" s="5" customFormat="1" ht="47.25" customHeight="1">
      <c r="A557" s="44" t="s">
        <v>249</v>
      </c>
      <c r="B557" s="45" t="s">
        <v>15</v>
      </c>
      <c r="C557" s="46" t="s">
        <v>183</v>
      </c>
      <c r="D557" s="46"/>
      <c r="E557" s="51">
        <f>E558</f>
        <v>48</v>
      </c>
      <c r="F557" s="51"/>
      <c r="G557" s="51">
        <f>G558</f>
        <v>0</v>
      </c>
      <c r="H557" s="51"/>
      <c r="I557" s="116"/>
    </row>
    <row r="558" spans="1:9" s="5" customFormat="1" ht="76.5" customHeight="1">
      <c r="A558" s="44" t="s">
        <v>561</v>
      </c>
      <c r="B558" s="45" t="s">
        <v>15</v>
      </c>
      <c r="C558" s="46" t="s">
        <v>560</v>
      </c>
      <c r="D558" s="46"/>
      <c r="E558" s="51">
        <f>E559</f>
        <v>48</v>
      </c>
      <c r="F558" s="51"/>
      <c r="G558" s="51">
        <f>G559</f>
        <v>0</v>
      </c>
      <c r="H558" s="51"/>
      <c r="I558" s="116"/>
    </row>
    <row r="559" spans="1:9" s="5" customFormat="1" ht="25.5" customHeight="1">
      <c r="A559" s="44" t="s">
        <v>175</v>
      </c>
      <c r="B559" s="45" t="s">
        <v>15</v>
      </c>
      <c r="C559" s="46" t="s">
        <v>560</v>
      </c>
      <c r="D559" s="46" t="s">
        <v>174</v>
      </c>
      <c r="E559" s="51">
        <f>E560</f>
        <v>48</v>
      </c>
      <c r="F559" s="51"/>
      <c r="G559" s="51">
        <f>G560</f>
        <v>0</v>
      </c>
      <c r="H559" s="51"/>
      <c r="I559" s="116"/>
    </row>
    <row r="560" spans="1:9" s="5" customFormat="1" ht="36" customHeight="1">
      <c r="A560" s="56" t="s">
        <v>177</v>
      </c>
      <c r="B560" s="45" t="s">
        <v>15</v>
      </c>
      <c r="C560" s="46" t="s">
        <v>560</v>
      </c>
      <c r="D560" s="46" t="s">
        <v>176</v>
      </c>
      <c r="E560" s="48">
        <v>48</v>
      </c>
      <c r="F560" s="51"/>
      <c r="G560" s="48">
        <v>0</v>
      </c>
      <c r="H560" s="51"/>
      <c r="I560" s="116"/>
    </row>
    <row r="561" spans="1:9" s="5" customFormat="1" ht="46.5" customHeight="1">
      <c r="A561" s="50" t="s">
        <v>280</v>
      </c>
      <c r="B561" s="45" t="s">
        <v>15</v>
      </c>
      <c r="C561" s="45" t="s">
        <v>191</v>
      </c>
      <c r="D561" s="8"/>
      <c r="E561" s="55">
        <f>E562</f>
        <v>3000</v>
      </c>
      <c r="F561" s="55">
        <f>F562</f>
        <v>0</v>
      </c>
      <c r="G561" s="55">
        <f>G562</f>
        <v>230.7</v>
      </c>
      <c r="H561" s="55">
        <f>H562</f>
        <v>0</v>
      </c>
      <c r="I561" s="116"/>
    </row>
    <row r="562" spans="1:9" s="5" customFormat="1" ht="32.25" customHeight="1">
      <c r="A562" s="44" t="s">
        <v>611</v>
      </c>
      <c r="B562" s="45" t="s">
        <v>15</v>
      </c>
      <c r="C562" s="46" t="s">
        <v>612</v>
      </c>
      <c r="D562" s="46"/>
      <c r="E562" s="55">
        <f>E563</f>
        <v>3000</v>
      </c>
      <c r="F562" s="51"/>
      <c r="G562" s="55">
        <f>G563</f>
        <v>230.7</v>
      </c>
      <c r="H562" s="51"/>
      <c r="I562" s="116"/>
    </row>
    <row r="563" spans="1:9" s="5" customFormat="1" ht="19.5" customHeight="1">
      <c r="A563" s="56" t="s">
        <v>175</v>
      </c>
      <c r="B563" s="45" t="s">
        <v>15</v>
      </c>
      <c r="C563" s="46" t="s">
        <v>612</v>
      </c>
      <c r="D563" s="46" t="s">
        <v>174</v>
      </c>
      <c r="E563" s="38">
        <f>E564</f>
        <v>3000</v>
      </c>
      <c r="F563" s="51"/>
      <c r="G563" s="38">
        <f>G564</f>
        <v>230.7</v>
      </c>
      <c r="H563" s="51"/>
      <c r="I563" s="116"/>
    </row>
    <row r="564" spans="1:9" s="5" customFormat="1" ht="30.75" customHeight="1">
      <c r="A564" s="44" t="s">
        <v>177</v>
      </c>
      <c r="B564" s="45" t="s">
        <v>15</v>
      </c>
      <c r="C564" s="46" t="s">
        <v>612</v>
      </c>
      <c r="D564" s="46" t="s">
        <v>176</v>
      </c>
      <c r="E564" s="55">
        <f>3000</f>
        <v>3000</v>
      </c>
      <c r="F564" s="51"/>
      <c r="G564" s="55">
        <v>230.7</v>
      </c>
      <c r="H564" s="51"/>
      <c r="I564" s="116"/>
    </row>
    <row r="565" spans="1:9" s="5" customFormat="1" ht="44.25" customHeight="1">
      <c r="A565" s="41" t="s">
        <v>250</v>
      </c>
      <c r="B565" s="8" t="s">
        <v>15</v>
      </c>
      <c r="C565" s="46" t="s">
        <v>189</v>
      </c>
      <c r="D565" s="8"/>
      <c r="E565" s="55">
        <f>E566+E572+E569+E579</f>
        <v>34053.6</v>
      </c>
      <c r="F565" s="10"/>
      <c r="G565" s="55">
        <f>G566+G572+G569+G579</f>
        <v>10869.400000000001</v>
      </c>
      <c r="H565" s="10"/>
      <c r="I565" s="116"/>
    </row>
    <row r="566" spans="1:9" s="5" customFormat="1" ht="17.25" customHeight="1">
      <c r="A566" s="41" t="s">
        <v>203</v>
      </c>
      <c r="B566" s="8" t="s">
        <v>15</v>
      </c>
      <c r="C566" s="46" t="s">
        <v>190</v>
      </c>
      <c r="D566" s="8"/>
      <c r="E566" s="55">
        <f>E567</f>
        <v>10100</v>
      </c>
      <c r="F566" s="10"/>
      <c r="G566" s="55">
        <f>G567</f>
        <v>4151.6</v>
      </c>
      <c r="H566" s="10"/>
      <c r="I566" s="116"/>
    </row>
    <row r="567" spans="1:9" s="5" customFormat="1" ht="20.25" customHeight="1">
      <c r="A567" s="56" t="s">
        <v>175</v>
      </c>
      <c r="B567" s="37" t="s">
        <v>15</v>
      </c>
      <c r="C567" s="46" t="s">
        <v>190</v>
      </c>
      <c r="D567" s="37" t="s">
        <v>174</v>
      </c>
      <c r="E567" s="38">
        <f>E568</f>
        <v>10100</v>
      </c>
      <c r="F567" s="11"/>
      <c r="G567" s="38">
        <f>G568</f>
        <v>4151.6</v>
      </c>
      <c r="H567" s="11"/>
      <c r="I567" s="116"/>
    </row>
    <row r="568" spans="1:9" s="5" customFormat="1" ht="33" customHeight="1">
      <c r="A568" s="44" t="s">
        <v>177</v>
      </c>
      <c r="B568" s="8" t="s">
        <v>15</v>
      </c>
      <c r="C568" s="46" t="s">
        <v>190</v>
      </c>
      <c r="D568" s="8" t="s">
        <v>176</v>
      </c>
      <c r="E568" s="55">
        <f>10000+100</f>
        <v>10100</v>
      </c>
      <c r="F568" s="10"/>
      <c r="G568" s="55">
        <v>4151.6</v>
      </c>
      <c r="H568" s="10"/>
      <c r="I568" s="116"/>
    </row>
    <row r="569" spans="1:9" s="5" customFormat="1" ht="30" customHeight="1">
      <c r="A569" s="44" t="s">
        <v>12</v>
      </c>
      <c r="B569" s="37" t="s">
        <v>15</v>
      </c>
      <c r="C569" s="45" t="s">
        <v>326</v>
      </c>
      <c r="D569" s="8"/>
      <c r="E569" s="55">
        <f>E570</f>
        <v>545</v>
      </c>
      <c r="F569" s="11"/>
      <c r="G569" s="55">
        <f>G570</f>
        <v>108</v>
      </c>
      <c r="H569" s="11"/>
      <c r="I569" s="116"/>
    </row>
    <row r="570" spans="1:9" s="5" customFormat="1" ht="22.5" customHeight="1">
      <c r="A570" s="44" t="s">
        <v>175</v>
      </c>
      <c r="B570" s="37" t="s">
        <v>15</v>
      </c>
      <c r="C570" s="45" t="s">
        <v>326</v>
      </c>
      <c r="D570" s="8" t="s">
        <v>174</v>
      </c>
      <c r="E570" s="55">
        <f>E571</f>
        <v>545</v>
      </c>
      <c r="F570" s="11"/>
      <c r="G570" s="55">
        <f>G571</f>
        <v>108</v>
      </c>
      <c r="H570" s="11"/>
      <c r="I570" s="116"/>
    </row>
    <row r="571" spans="1:9" s="5" customFormat="1" ht="33" customHeight="1">
      <c r="A571" s="44" t="s">
        <v>177</v>
      </c>
      <c r="B571" s="37" t="s">
        <v>15</v>
      </c>
      <c r="C571" s="45" t="s">
        <v>326</v>
      </c>
      <c r="D571" s="8" t="s">
        <v>176</v>
      </c>
      <c r="E571" s="55">
        <f>600+45-100</f>
        <v>545</v>
      </c>
      <c r="F571" s="11"/>
      <c r="G571" s="55">
        <v>108</v>
      </c>
      <c r="H571" s="11"/>
      <c r="I571" s="116"/>
    </row>
    <row r="572" spans="1:9" s="5" customFormat="1" ht="48.75" customHeight="1">
      <c r="A572" s="58" t="s">
        <v>271</v>
      </c>
      <c r="B572" s="37" t="s">
        <v>15</v>
      </c>
      <c r="C572" s="45" t="s">
        <v>220</v>
      </c>
      <c r="D572" s="37"/>
      <c r="E572" s="38">
        <f>E573+E575+E577</f>
        <v>8947.5</v>
      </c>
      <c r="F572" s="11"/>
      <c r="G572" s="38">
        <f>G573+G575+G577</f>
        <v>3671.5</v>
      </c>
      <c r="H572" s="11"/>
      <c r="I572" s="116"/>
    </row>
    <row r="573" spans="1:9" s="5" customFormat="1" ht="61.5" customHeight="1">
      <c r="A573" s="56" t="s">
        <v>344</v>
      </c>
      <c r="B573" s="37" t="s">
        <v>15</v>
      </c>
      <c r="C573" s="45" t="s">
        <v>220</v>
      </c>
      <c r="D573" s="37" t="s">
        <v>180</v>
      </c>
      <c r="E573" s="38">
        <f>E574</f>
        <v>7862.5</v>
      </c>
      <c r="F573" s="11"/>
      <c r="G573" s="38">
        <f>G574</f>
        <v>3483.1</v>
      </c>
      <c r="H573" s="11"/>
      <c r="I573" s="116"/>
    </row>
    <row r="574" spans="1:9" s="5" customFormat="1" ht="24.75" customHeight="1">
      <c r="A574" s="56" t="s">
        <v>346</v>
      </c>
      <c r="B574" s="37" t="s">
        <v>15</v>
      </c>
      <c r="C574" s="45" t="s">
        <v>220</v>
      </c>
      <c r="D574" s="37" t="s">
        <v>345</v>
      </c>
      <c r="E574" s="38">
        <f>7862.5</f>
        <v>7862.5</v>
      </c>
      <c r="F574" s="11"/>
      <c r="G574" s="38">
        <v>3483.1</v>
      </c>
      <c r="H574" s="11"/>
      <c r="I574" s="116"/>
    </row>
    <row r="575" spans="1:9" s="5" customFormat="1" ht="29.25" customHeight="1">
      <c r="A575" s="56" t="s">
        <v>175</v>
      </c>
      <c r="B575" s="37" t="s">
        <v>15</v>
      </c>
      <c r="C575" s="45" t="s">
        <v>220</v>
      </c>
      <c r="D575" s="37" t="s">
        <v>174</v>
      </c>
      <c r="E575" s="38">
        <f>E576</f>
        <v>1010</v>
      </c>
      <c r="F575" s="11"/>
      <c r="G575" s="38">
        <f>G576</f>
        <v>164.4</v>
      </c>
      <c r="H575" s="11"/>
      <c r="I575" s="116"/>
    </row>
    <row r="576" spans="1:9" s="5" customFormat="1" ht="33" customHeight="1">
      <c r="A576" s="56" t="s">
        <v>177</v>
      </c>
      <c r="B576" s="37" t="s">
        <v>15</v>
      </c>
      <c r="C576" s="45" t="s">
        <v>220</v>
      </c>
      <c r="D576" s="37" t="s">
        <v>176</v>
      </c>
      <c r="E576" s="38">
        <f>1035-25</f>
        <v>1010</v>
      </c>
      <c r="F576" s="11"/>
      <c r="G576" s="38">
        <v>164.4</v>
      </c>
      <c r="H576" s="11"/>
      <c r="I576" s="116"/>
    </row>
    <row r="577" spans="1:9" s="5" customFormat="1" ht="21.75" customHeight="1">
      <c r="A577" s="56" t="s">
        <v>179</v>
      </c>
      <c r="B577" s="37" t="s">
        <v>15</v>
      </c>
      <c r="C577" s="45" t="s">
        <v>220</v>
      </c>
      <c r="D577" s="37" t="s">
        <v>178</v>
      </c>
      <c r="E577" s="38">
        <f>E578</f>
        <v>75</v>
      </c>
      <c r="F577" s="11"/>
      <c r="G577" s="38">
        <f>G578</f>
        <v>24</v>
      </c>
      <c r="H577" s="11"/>
      <c r="I577" s="116"/>
    </row>
    <row r="578" spans="1:9" s="5" customFormat="1" ht="25.5" customHeight="1">
      <c r="A578" s="56" t="s">
        <v>348</v>
      </c>
      <c r="B578" s="37" t="s">
        <v>15</v>
      </c>
      <c r="C578" s="45" t="s">
        <v>220</v>
      </c>
      <c r="D578" s="37" t="s">
        <v>347</v>
      </c>
      <c r="E578" s="38">
        <f>50+25</f>
        <v>75</v>
      </c>
      <c r="F578" s="11"/>
      <c r="G578" s="38">
        <v>24</v>
      </c>
      <c r="H578" s="11"/>
      <c r="I578" s="116"/>
    </row>
    <row r="579" spans="1:9" s="5" customFormat="1" ht="63" customHeight="1">
      <c r="A579" s="58" t="s">
        <v>553</v>
      </c>
      <c r="B579" s="37" t="s">
        <v>15</v>
      </c>
      <c r="C579" s="37" t="s">
        <v>555</v>
      </c>
      <c r="D579" s="45"/>
      <c r="E579" s="48">
        <f>E580</f>
        <v>14461.1</v>
      </c>
      <c r="F579" s="10"/>
      <c r="G579" s="48">
        <f>G580</f>
        <v>2938.3</v>
      </c>
      <c r="H579" s="10"/>
      <c r="I579" s="116"/>
    </row>
    <row r="580" spans="1:9" s="5" customFormat="1" ht="75.75" customHeight="1">
      <c r="A580" s="56" t="s">
        <v>556</v>
      </c>
      <c r="B580" s="37" t="s">
        <v>15</v>
      </c>
      <c r="C580" s="37" t="s">
        <v>554</v>
      </c>
      <c r="D580" s="45"/>
      <c r="E580" s="48">
        <f>E581+E583</f>
        <v>14461.1</v>
      </c>
      <c r="F580" s="10"/>
      <c r="G580" s="48">
        <f>G581+G583</f>
        <v>2938.3</v>
      </c>
      <c r="H580" s="10"/>
      <c r="I580" s="116"/>
    </row>
    <row r="581" spans="1:9" s="5" customFormat="1" ht="63.75" customHeight="1">
      <c r="A581" s="56" t="s">
        <v>344</v>
      </c>
      <c r="B581" s="37" t="s">
        <v>15</v>
      </c>
      <c r="C581" s="37" t="s">
        <v>554</v>
      </c>
      <c r="D581" s="45" t="s">
        <v>180</v>
      </c>
      <c r="E581" s="48">
        <f>E582</f>
        <v>3769</v>
      </c>
      <c r="F581" s="10"/>
      <c r="G581" s="48">
        <f>G582</f>
        <v>1151.7</v>
      </c>
      <c r="H581" s="10"/>
      <c r="I581" s="116"/>
    </row>
    <row r="582" spans="1:9" s="5" customFormat="1" ht="27.75" customHeight="1">
      <c r="A582" s="56" t="s">
        <v>346</v>
      </c>
      <c r="B582" s="37" t="s">
        <v>15</v>
      </c>
      <c r="C582" s="37" t="s">
        <v>554</v>
      </c>
      <c r="D582" s="37" t="s">
        <v>345</v>
      </c>
      <c r="E582" s="51">
        <f>3769</f>
        <v>3769</v>
      </c>
      <c r="F582" s="10"/>
      <c r="G582" s="51">
        <v>1151.7</v>
      </c>
      <c r="H582" s="10"/>
      <c r="I582" s="116"/>
    </row>
    <row r="583" spans="1:9" s="5" customFormat="1" ht="24.75" customHeight="1">
      <c r="A583" s="56" t="s">
        <v>175</v>
      </c>
      <c r="B583" s="37" t="s">
        <v>15</v>
      </c>
      <c r="C583" s="37" t="s">
        <v>554</v>
      </c>
      <c r="D583" s="37" t="s">
        <v>174</v>
      </c>
      <c r="E583" s="51">
        <f>E584</f>
        <v>10692.1</v>
      </c>
      <c r="F583" s="10"/>
      <c r="G583" s="51">
        <f>G584</f>
        <v>1786.6</v>
      </c>
      <c r="H583" s="10"/>
      <c r="I583" s="116"/>
    </row>
    <row r="584" spans="1:9" s="5" customFormat="1" ht="31.5" customHeight="1">
      <c r="A584" s="56" t="s">
        <v>177</v>
      </c>
      <c r="B584" s="37" t="s">
        <v>15</v>
      </c>
      <c r="C584" s="37" t="s">
        <v>554</v>
      </c>
      <c r="D584" s="37" t="s">
        <v>176</v>
      </c>
      <c r="E584" s="51">
        <f>10692.1</f>
        <v>10692.1</v>
      </c>
      <c r="F584" s="10"/>
      <c r="G584" s="51">
        <v>1786.6</v>
      </c>
      <c r="H584" s="10"/>
      <c r="I584" s="116"/>
    </row>
    <row r="585" spans="1:9" s="1" customFormat="1" ht="28.5" customHeight="1">
      <c r="A585" s="57" t="s">
        <v>121</v>
      </c>
      <c r="B585" s="61" t="s">
        <v>151</v>
      </c>
      <c r="C585" s="61"/>
      <c r="D585" s="61"/>
      <c r="E585" s="11">
        <f>E587+E600+E593</f>
        <v>17331</v>
      </c>
      <c r="F585" s="11">
        <f>F587+F600+F593</f>
        <v>7331</v>
      </c>
      <c r="G585" s="11">
        <f>G587+G600+G593</f>
        <v>7686.7</v>
      </c>
      <c r="H585" s="11">
        <f>H587+H600+H593</f>
        <v>2315.9</v>
      </c>
      <c r="I585" s="117"/>
    </row>
    <row r="586" spans="1:9" s="1" customFormat="1" ht="33" customHeight="1">
      <c r="A586" s="66" t="s">
        <v>568</v>
      </c>
      <c r="B586" s="8" t="s">
        <v>151</v>
      </c>
      <c r="C586" s="8" t="s">
        <v>569</v>
      </c>
      <c r="D586" s="8"/>
      <c r="E586" s="102">
        <f aca="true" t="shared" si="17" ref="E586:H587">E587</f>
        <v>6791</v>
      </c>
      <c r="F586" s="102">
        <f t="shared" si="17"/>
        <v>6791</v>
      </c>
      <c r="G586" s="102">
        <f t="shared" si="17"/>
        <v>2183.7000000000003</v>
      </c>
      <c r="H586" s="102">
        <f t="shared" si="17"/>
        <v>2183.7000000000003</v>
      </c>
      <c r="I586" s="117"/>
    </row>
    <row r="587" spans="1:9" s="1" customFormat="1" ht="64.5" customHeight="1">
      <c r="A587" s="44" t="s">
        <v>430</v>
      </c>
      <c r="B587" s="8" t="s">
        <v>151</v>
      </c>
      <c r="C587" s="8" t="s">
        <v>578</v>
      </c>
      <c r="D587" s="8"/>
      <c r="E587" s="55">
        <f t="shared" si="17"/>
        <v>6791</v>
      </c>
      <c r="F587" s="55">
        <f t="shared" si="17"/>
        <v>6791</v>
      </c>
      <c r="G587" s="55">
        <f t="shared" si="17"/>
        <v>2183.7000000000003</v>
      </c>
      <c r="H587" s="55">
        <f t="shared" si="17"/>
        <v>2183.7000000000003</v>
      </c>
      <c r="I587" s="117"/>
    </row>
    <row r="588" spans="1:9" s="1" customFormat="1" ht="45.75" customHeight="1">
      <c r="A588" s="44" t="s">
        <v>431</v>
      </c>
      <c r="B588" s="8" t="s">
        <v>151</v>
      </c>
      <c r="C588" s="8" t="s">
        <v>578</v>
      </c>
      <c r="D588" s="8"/>
      <c r="E588" s="55">
        <f>E589+E591</f>
        <v>6791</v>
      </c>
      <c r="F588" s="55">
        <f>F589+F591</f>
        <v>6791</v>
      </c>
      <c r="G588" s="55">
        <f>G589+G591</f>
        <v>2183.7000000000003</v>
      </c>
      <c r="H588" s="55">
        <f>H589+H591</f>
        <v>2183.7000000000003</v>
      </c>
      <c r="I588" s="117"/>
    </row>
    <row r="589" spans="1:9" s="1" customFormat="1" ht="58.5" customHeight="1">
      <c r="A589" s="41" t="s">
        <v>344</v>
      </c>
      <c r="B589" s="8" t="s">
        <v>151</v>
      </c>
      <c r="C589" s="8" t="s">
        <v>578</v>
      </c>
      <c r="D589" s="8" t="s">
        <v>180</v>
      </c>
      <c r="E589" s="55">
        <f>E590</f>
        <v>5772.5</v>
      </c>
      <c r="F589" s="55">
        <f>F590</f>
        <v>5772.5</v>
      </c>
      <c r="G589" s="55">
        <f>G590</f>
        <v>2183.3</v>
      </c>
      <c r="H589" s="55">
        <f>H590</f>
        <v>2183.3</v>
      </c>
      <c r="I589" s="117"/>
    </row>
    <row r="590" spans="1:9" s="1" customFormat="1" ht="22.5" customHeight="1">
      <c r="A590" s="56" t="s">
        <v>173</v>
      </c>
      <c r="B590" s="8" t="s">
        <v>151</v>
      </c>
      <c r="C590" s="8" t="s">
        <v>578</v>
      </c>
      <c r="D590" s="8" t="s">
        <v>172</v>
      </c>
      <c r="E590" s="55">
        <f>6309.6-537.1</f>
        <v>5772.5</v>
      </c>
      <c r="F590" s="55">
        <f>E590</f>
        <v>5772.5</v>
      </c>
      <c r="G590" s="55">
        <v>2183.3</v>
      </c>
      <c r="H590" s="55">
        <f>G590</f>
        <v>2183.3</v>
      </c>
      <c r="I590" s="117"/>
    </row>
    <row r="591" spans="1:9" s="1" customFormat="1" ht="20.25" customHeight="1">
      <c r="A591" s="44" t="s">
        <v>175</v>
      </c>
      <c r="B591" s="8" t="s">
        <v>151</v>
      </c>
      <c r="C591" s="8" t="s">
        <v>578</v>
      </c>
      <c r="D591" s="8" t="s">
        <v>174</v>
      </c>
      <c r="E591" s="55">
        <f>E592</f>
        <v>1018.5</v>
      </c>
      <c r="F591" s="55">
        <f>F592</f>
        <v>1018.5</v>
      </c>
      <c r="G591" s="55">
        <f>G592</f>
        <v>0.4</v>
      </c>
      <c r="H591" s="55">
        <f>H592</f>
        <v>0.4</v>
      </c>
      <c r="I591" s="117"/>
    </row>
    <row r="592" spans="1:9" s="1" customFormat="1" ht="30.75" customHeight="1">
      <c r="A592" s="56" t="s">
        <v>177</v>
      </c>
      <c r="B592" s="37" t="s">
        <v>151</v>
      </c>
      <c r="C592" s="8" t="s">
        <v>578</v>
      </c>
      <c r="D592" s="37" t="s">
        <v>176</v>
      </c>
      <c r="E592" s="38">
        <f>481.4+537.1</f>
        <v>1018.5</v>
      </c>
      <c r="F592" s="38">
        <f>E592</f>
        <v>1018.5</v>
      </c>
      <c r="G592" s="38">
        <v>0.4</v>
      </c>
      <c r="H592" s="38">
        <f>G592</f>
        <v>0.4</v>
      </c>
      <c r="I592" s="117"/>
    </row>
    <row r="593" spans="1:9" s="1" customFormat="1" ht="33.75" customHeight="1">
      <c r="A593" s="44" t="s">
        <v>633</v>
      </c>
      <c r="B593" s="37" t="s">
        <v>151</v>
      </c>
      <c r="C593" s="8" t="s">
        <v>563</v>
      </c>
      <c r="D593" s="8"/>
      <c r="E593" s="55">
        <f aca="true" t="shared" si="18" ref="E593:H594">E594</f>
        <v>540</v>
      </c>
      <c r="F593" s="55">
        <f t="shared" si="18"/>
        <v>540</v>
      </c>
      <c r="G593" s="55">
        <f t="shared" si="18"/>
        <v>132.2</v>
      </c>
      <c r="H593" s="55">
        <f t="shared" si="18"/>
        <v>132.2</v>
      </c>
      <c r="I593" s="117"/>
    </row>
    <row r="594" spans="1:9" s="1" customFormat="1" ht="20.25" customHeight="1">
      <c r="A594" s="44" t="s">
        <v>606</v>
      </c>
      <c r="B594" s="37" t="s">
        <v>151</v>
      </c>
      <c r="C594" s="8" t="s">
        <v>607</v>
      </c>
      <c r="D594" s="8"/>
      <c r="E594" s="55">
        <f t="shared" si="18"/>
        <v>540</v>
      </c>
      <c r="F594" s="55">
        <f t="shared" si="18"/>
        <v>540</v>
      </c>
      <c r="G594" s="55">
        <f t="shared" si="18"/>
        <v>132.2</v>
      </c>
      <c r="H594" s="55">
        <f t="shared" si="18"/>
        <v>132.2</v>
      </c>
      <c r="I594" s="117"/>
    </row>
    <row r="595" spans="1:9" s="1" customFormat="1" ht="48" customHeight="1">
      <c r="A595" s="44" t="s">
        <v>562</v>
      </c>
      <c r="B595" s="37" t="s">
        <v>151</v>
      </c>
      <c r="C595" s="8" t="s">
        <v>608</v>
      </c>
      <c r="D595" s="8"/>
      <c r="E595" s="51">
        <f>E596+E598</f>
        <v>540</v>
      </c>
      <c r="F595" s="51">
        <f>F596+F598</f>
        <v>540</v>
      </c>
      <c r="G595" s="51">
        <f>G596+G598</f>
        <v>132.2</v>
      </c>
      <c r="H595" s="51">
        <f>H596+H598</f>
        <v>132.2</v>
      </c>
      <c r="I595" s="117"/>
    </row>
    <row r="596" spans="1:9" s="1" customFormat="1" ht="63.75" customHeight="1">
      <c r="A596" s="41" t="s">
        <v>344</v>
      </c>
      <c r="B596" s="37" t="s">
        <v>151</v>
      </c>
      <c r="C596" s="8" t="s">
        <v>608</v>
      </c>
      <c r="D596" s="8" t="s">
        <v>180</v>
      </c>
      <c r="E596" s="51">
        <f>E597</f>
        <v>513</v>
      </c>
      <c r="F596" s="51">
        <f>F597</f>
        <v>513</v>
      </c>
      <c r="G596" s="51">
        <f>G597</f>
        <v>132.2</v>
      </c>
      <c r="H596" s="51">
        <f>H597</f>
        <v>132.2</v>
      </c>
      <c r="I596" s="117"/>
    </row>
    <row r="597" spans="1:9" s="1" customFormat="1" ht="21.75" customHeight="1">
      <c r="A597" s="41" t="s">
        <v>346</v>
      </c>
      <c r="B597" s="37" t="s">
        <v>151</v>
      </c>
      <c r="C597" s="8" t="s">
        <v>608</v>
      </c>
      <c r="D597" s="8" t="s">
        <v>172</v>
      </c>
      <c r="E597" s="48">
        <v>513</v>
      </c>
      <c r="F597" s="48">
        <f>E597</f>
        <v>513</v>
      </c>
      <c r="G597" s="48">
        <v>132.2</v>
      </c>
      <c r="H597" s="48">
        <f>G597</f>
        <v>132.2</v>
      </c>
      <c r="I597" s="117"/>
    </row>
    <row r="598" spans="1:9" s="1" customFormat="1" ht="21.75" customHeight="1">
      <c r="A598" s="44" t="s">
        <v>175</v>
      </c>
      <c r="B598" s="37" t="s">
        <v>151</v>
      </c>
      <c r="C598" s="8" t="s">
        <v>608</v>
      </c>
      <c r="D598" s="8" t="s">
        <v>174</v>
      </c>
      <c r="E598" s="48">
        <f>E599</f>
        <v>27</v>
      </c>
      <c r="F598" s="48">
        <f>F599</f>
        <v>27</v>
      </c>
      <c r="G598" s="48">
        <f>G599</f>
        <v>0</v>
      </c>
      <c r="H598" s="48">
        <f>H599</f>
        <v>0</v>
      </c>
      <c r="I598" s="117"/>
    </row>
    <row r="599" spans="1:9" s="1" customFormat="1" ht="30" customHeight="1">
      <c r="A599" s="56" t="s">
        <v>177</v>
      </c>
      <c r="B599" s="37" t="s">
        <v>151</v>
      </c>
      <c r="C599" s="8" t="s">
        <v>608</v>
      </c>
      <c r="D599" s="8" t="s">
        <v>176</v>
      </c>
      <c r="E599" s="48">
        <v>27</v>
      </c>
      <c r="F599" s="48">
        <v>27</v>
      </c>
      <c r="G599" s="48">
        <v>0</v>
      </c>
      <c r="H599" s="48">
        <v>0</v>
      </c>
      <c r="I599" s="117"/>
    </row>
    <row r="600" spans="1:9" s="1" customFormat="1" ht="45" customHeight="1">
      <c r="A600" s="44" t="s">
        <v>11</v>
      </c>
      <c r="B600" s="37" t="s">
        <v>151</v>
      </c>
      <c r="C600" s="46" t="s">
        <v>35</v>
      </c>
      <c r="D600" s="46"/>
      <c r="E600" s="42">
        <f>E601</f>
        <v>10000</v>
      </c>
      <c r="F600" s="42">
        <f>F601+F604</f>
        <v>0</v>
      </c>
      <c r="G600" s="42">
        <f>G601</f>
        <v>5370.8</v>
      </c>
      <c r="H600" s="42">
        <f>H601+H604</f>
        <v>0</v>
      </c>
      <c r="I600" s="117"/>
    </row>
    <row r="601" spans="1:9" s="1" customFormat="1" ht="35.25" customHeight="1">
      <c r="A601" s="44" t="s">
        <v>18</v>
      </c>
      <c r="B601" s="37" t="s">
        <v>151</v>
      </c>
      <c r="C601" s="46" t="s">
        <v>195</v>
      </c>
      <c r="D601" s="46"/>
      <c r="E601" s="51">
        <f>E602</f>
        <v>10000</v>
      </c>
      <c r="F601" s="92"/>
      <c r="G601" s="51">
        <f>G602</f>
        <v>5370.8</v>
      </c>
      <c r="H601" s="92"/>
      <c r="I601" s="117"/>
    </row>
    <row r="602" spans="1:9" s="1" customFormat="1" ht="22.5" customHeight="1">
      <c r="A602" s="44" t="s">
        <v>175</v>
      </c>
      <c r="B602" s="37" t="s">
        <v>151</v>
      </c>
      <c r="C602" s="46" t="s">
        <v>195</v>
      </c>
      <c r="D602" s="46" t="s">
        <v>174</v>
      </c>
      <c r="E602" s="51">
        <f>E603</f>
        <v>10000</v>
      </c>
      <c r="F602" s="92"/>
      <c r="G602" s="51">
        <f>G603</f>
        <v>5370.8</v>
      </c>
      <c r="H602" s="92"/>
      <c r="I602" s="117"/>
    </row>
    <row r="603" spans="1:9" s="1" customFormat="1" ht="33" customHeight="1">
      <c r="A603" s="56" t="s">
        <v>177</v>
      </c>
      <c r="B603" s="37" t="s">
        <v>151</v>
      </c>
      <c r="C603" s="46" t="s">
        <v>195</v>
      </c>
      <c r="D603" s="45" t="s">
        <v>176</v>
      </c>
      <c r="E603" s="48">
        <f>10000</f>
        <v>10000</v>
      </c>
      <c r="F603" s="81"/>
      <c r="G603" s="48">
        <v>5370.8</v>
      </c>
      <c r="H603" s="81"/>
      <c r="I603" s="117"/>
    </row>
    <row r="604" spans="1:9" s="1" customFormat="1" ht="27.75" customHeight="1">
      <c r="A604" s="20" t="s">
        <v>122</v>
      </c>
      <c r="B604" s="17" t="s">
        <v>95</v>
      </c>
      <c r="C604" s="17"/>
      <c r="D604" s="17"/>
      <c r="E604" s="18">
        <f>E605</f>
        <v>7556.5</v>
      </c>
      <c r="F604" s="18">
        <f>F605</f>
        <v>0</v>
      </c>
      <c r="G604" s="18">
        <f>G605</f>
        <v>116.4</v>
      </c>
      <c r="H604" s="18">
        <f>H605</f>
        <v>0</v>
      </c>
      <c r="I604" s="24">
        <f>G604/E604*100</f>
        <v>1.5403956858333885</v>
      </c>
    </row>
    <row r="605" spans="1:9" s="1" customFormat="1" ht="28.5" customHeight="1">
      <c r="A605" s="62" t="s">
        <v>140</v>
      </c>
      <c r="B605" s="61" t="s">
        <v>152</v>
      </c>
      <c r="C605" s="61"/>
      <c r="D605" s="61"/>
      <c r="E605" s="11">
        <f>E609+E606</f>
        <v>7556.5</v>
      </c>
      <c r="F605" s="11"/>
      <c r="G605" s="11">
        <f>G609+G606</f>
        <v>116.4</v>
      </c>
      <c r="H605" s="11"/>
      <c r="I605" s="117"/>
    </row>
    <row r="606" spans="1:9" s="1" customFormat="1" ht="75.75" customHeight="1">
      <c r="A606" s="34" t="s">
        <v>279</v>
      </c>
      <c r="B606" s="37" t="s">
        <v>152</v>
      </c>
      <c r="C606" s="37" t="s">
        <v>37</v>
      </c>
      <c r="D606" s="37"/>
      <c r="E606" s="38">
        <f>E607</f>
        <v>3331.5</v>
      </c>
      <c r="F606" s="38"/>
      <c r="G606" s="38">
        <f>G607</f>
        <v>0</v>
      </c>
      <c r="H606" s="38"/>
      <c r="I606" s="117"/>
    </row>
    <row r="607" spans="1:9" s="1" customFormat="1" ht="18.75" customHeight="1">
      <c r="A607" s="44" t="s">
        <v>175</v>
      </c>
      <c r="B607" s="37" t="s">
        <v>152</v>
      </c>
      <c r="C607" s="37" t="s">
        <v>38</v>
      </c>
      <c r="D607" s="36" t="s">
        <v>174</v>
      </c>
      <c r="E607" s="38">
        <f>E608</f>
        <v>3331.5</v>
      </c>
      <c r="F607" s="38"/>
      <c r="G607" s="38">
        <f>G608</f>
        <v>0</v>
      </c>
      <c r="H607" s="38"/>
      <c r="I607" s="117"/>
    </row>
    <row r="608" spans="1:9" s="1" customFormat="1" ht="33.75" customHeight="1">
      <c r="A608" s="44" t="s">
        <v>177</v>
      </c>
      <c r="B608" s="37" t="s">
        <v>152</v>
      </c>
      <c r="C608" s="37" t="s">
        <v>38</v>
      </c>
      <c r="D608" s="36" t="s">
        <v>176</v>
      </c>
      <c r="E608" s="38">
        <f>4114-782.5</f>
        <v>3331.5</v>
      </c>
      <c r="F608" s="38"/>
      <c r="G608" s="38">
        <v>0</v>
      </c>
      <c r="H608" s="38"/>
      <c r="I608" s="117"/>
    </row>
    <row r="609" spans="1:9" s="1" customFormat="1" ht="45" customHeight="1">
      <c r="A609" s="50" t="s">
        <v>280</v>
      </c>
      <c r="B609" s="37" t="s">
        <v>152</v>
      </c>
      <c r="C609" s="45" t="s">
        <v>191</v>
      </c>
      <c r="D609" s="37"/>
      <c r="E609" s="38">
        <f>E610+E613</f>
        <v>4225</v>
      </c>
      <c r="F609" s="38"/>
      <c r="G609" s="38">
        <f>G610+G613</f>
        <v>116.4</v>
      </c>
      <c r="H609" s="38"/>
      <c r="I609" s="117"/>
    </row>
    <row r="610" spans="1:9" s="1" customFormat="1" ht="22.5" customHeight="1">
      <c r="A610" s="50" t="s">
        <v>238</v>
      </c>
      <c r="B610" s="37" t="s">
        <v>152</v>
      </c>
      <c r="C610" s="45" t="s">
        <v>237</v>
      </c>
      <c r="D610" s="37"/>
      <c r="E610" s="38">
        <f>E611</f>
        <v>1225</v>
      </c>
      <c r="F610" s="38"/>
      <c r="G610" s="38">
        <f>G611</f>
        <v>116.4</v>
      </c>
      <c r="H610" s="38"/>
      <c r="I610" s="117"/>
    </row>
    <row r="611" spans="1:9" s="1" customFormat="1" ht="22.5" customHeight="1">
      <c r="A611" s="44" t="s">
        <v>175</v>
      </c>
      <c r="B611" s="37" t="s">
        <v>152</v>
      </c>
      <c r="C611" s="45" t="s">
        <v>237</v>
      </c>
      <c r="D611" s="37" t="s">
        <v>174</v>
      </c>
      <c r="E611" s="38">
        <f>E612</f>
        <v>1225</v>
      </c>
      <c r="F611" s="38"/>
      <c r="G611" s="38">
        <f>G612</f>
        <v>116.4</v>
      </c>
      <c r="H611" s="38"/>
      <c r="I611" s="117"/>
    </row>
    <row r="612" spans="1:9" s="1" customFormat="1" ht="32.25" customHeight="1">
      <c r="A612" s="44" t="s">
        <v>177</v>
      </c>
      <c r="B612" s="37" t="s">
        <v>152</v>
      </c>
      <c r="C612" s="45" t="s">
        <v>237</v>
      </c>
      <c r="D612" s="37" t="s">
        <v>176</v>
      </c>
      <c r="E612" s="38">
        <f>1130+95</f>
        <v>1225</v>
      </c>
      <c r="F612" s="38"/>
      <c r="G612" s="38">
        <v>116.4</v>
      </c>
      <c r="H612" s="38"/>
      <c r="I612" s="117"/>
    </row>
    <row r="613" spans="1:9" s="1" customFormat="1" ht="27" customHeight="1">
      <c r="A613" s="50" t="s">
        <v>723</v>
      </c>
      <c r="B613" s="37" t="s">
        <v>152</v>
      </c>
      <c r="C613" s="45" t="s">
        <v>724</v>
      </c>
      <c r="D613" s="37"/>
      <c r="E613" s="38">
        <f>E614</f>
        <v>3000</v>
      </c>
      <c r="F613" s="38"/>
      <c r="G613" s="38">
        <f>G614</f>
        <v>0</v>
      </c>
      <c r="H613" s="38"/>
      <c r="I613" s="117"/>
    </row>
    <row r="614" spans="1:9" s="1" customFormat="1" ht="32.25" customHeight="1">
      <c r="A614" s="58" t="s">
        <v>352</v>
      </c>
      <c r="B614" s="37" t="s">
        <v>152</v>
      </c>
      <c r="C614" s="45" t="s">
        <v>724</v>
      </c>
      <c r="D614" s="37" t="s">
        <v>351</v>
      </c>
      <c r="E614" s="38">
        <f>E615</f>
        <v>3000</v>
      </c>
      <c r="F614" s="38"/>
      <c r="G614" s="38">
        <f>G615</f>
        <v>0</v>
      </c>
      <c r="H614" s="38"/>
      <c r="I614" s="117"/>
    </row>
    <row r="615" spans="1:9" s="1" customFormat="1" ht="24" customHeight="1">
      <c r="A615" s="40" t="s">
        <v>350</v>
      </c>
      <c r="B615" s="37" t="s">
        <v>152</v>
      </c>
      <c r="C615" s="45" t="s">
        <v>724</v>
      </c>
      <c r="D615" s="37" t="s">
        <v>349</v>
      </c>
      <c r="E615" s="38">
        <f>3000</f>
        <v>3000</v>
      </c>
      <c r="F615" s="38"/>
      <c r="G615" s="38">
        <v>0</v>
      </c>
      <c r="H615" s="38"/>
      <c r="I615" s="117"/>
    </row>
    <row r="616" spans="1:9" s="1" customFormat="1" ht="22.5" customHeight="1">
      <c r="A616" s="19" t="s">
        <v>101</v>
      </c>
      <c r="B616" s="17" t="s">
        <v>96</v>
      </c>
      <c r="C616" s="17"/>
      <c r="D616" s="17"/>
      <c r="E616" s="18">
        <f>E617+E652+E786+E795+E782+E746</f>
        <v>5078534</v>
      </c>
      <c r="F616" s="18">
        <f>F617+F652+F786+F795+F782+F746</f>
        <v>3410604.1</v>
      </c>
      <c r="G616" s="18">
        <f>G617+G652+G786+G795+G782+G746</f>
        <v>2212496.3</v>
      </c>
      <c r="H616" s="18">
        <f>H617+H652+H786+H795+H782+H746</f>
        <v>1461360.2</v>
      </c>
      <c r="I616" s="24">
        <f>G616/E616*100</f>
        <v>43.565649063292675</v>
      </c>
    </row>
    <row r="617" spans="1:9" s="1" customFormat="1" ht="20.25" customHeight="1">
      <c r="A617" s="47" t="s">
        <v>102</v>
      </c>
      <c r="B617" s="63" t="s">
        <v>97</v>
      </c>
      <c r="C617" s="63"/>
      <c r="D617" s="63"/>
      <c r="E617" s="9">
        <f aca="true" t="shared" si="19" ref="E617:H618">E618</f>
        <v>1636758.7999999998</v>
      </c>
      <c r="F617" s="9">
        <f t="shared" si="19"/>
        <v>1076933</v>
      </c>
      <c r="G617" s="9">
        <f t="shared" si="19"/>
        <v>694234.1</v>
      </c>
      <c r="H617" s="9">
        <f t="shared" si="19"/>
        <v>462426.6</v>
      </c>
      <c r="I617" s="117"/>
    </row>
    <row r="618" spans="1:9" s="1" customFormat="1" ht="44.25" customHeight="1">
      <c r="A618" s="50" t="s">
        <v>281</v>
      </c>
      <c r="B618" s="35" t="s">
        <v>97</v>
      </c>
      <c r="C618" s="8" t="s">
        <v>138</v>
      </c>
      <c r="D618" s="35"/>
      <c r="E618" s="64">
        <f t="shared" si="19"/>
        <v>1636758.7999999998</v>
      </c>
      <c r="F618" s="64">
        <f t="shared" si="19"/>
        <v>1076933</v>
      </c>
      <c r="G618" s="64">
        <f t="shared" si="19"/>
        <v>694234.1</v>
      </c>
      <c r="H618" s="64">
        <f t="shared" si="19"/>
        <v>462426.6</v>
      </c>
      <c r="I618" s="117"/>
    </row>
    <row r="619" spans="1:9" s="1" customFormat="1" ht="20.25" customHeight="1">
      <c r="A619" s="58" t="s">
        <v>294</v>
      </c>
      <c r="B619" s="35" t="s">
        <v>97</v>
      </c>
      <c r="C619" s="37" t="s">
        <v>139</v>
      </c>
      <c r="D619" s="35"/>
      <c r="E619" s="64">
        <f>E620+E632+E623+E629+E626</f>
        <v>1636758.7999999998</v>
      </c>
      <c r="F619" s="64">
        <f>F620+F632+F623+F629+F626</f>
        <v>1076933</v>
      </c>
      <c r="G619" s="64">
        <f>G620+G632+G623+G629+G626</f>
        <v>694234.1</v>
      </c>
      <c r="H619" s="64">
        <f>H620+H632+H623+H629+H626</f>
        <v>462426.6</v>
      </c>
      <c r="I619" s="117"/>
    </row>
    <row r="620" spans="1:9" s="1" customFormat="1" ht="122.25" customHeight="1">
      <c r="A620" s="50" t="s">
        <v>289</v>
      </c>
      <c r="B620" s="35" t="s">
        <v>97</v>
      </c>
      <c r="C620" s="8" t="s">
        <v>461</v>
      </c>
      <c r="D620" s="35"/>
      <c r="E620" s="42">
        <f>E622</f>
        <v>1070358</v>
      </c>
      <c r="F620" s="42">
        <f>F622</f>
        <v>1070358</v>
      </c>
      <c r="G620" s="42">
        <f>G622</f>
        <v>460466.6</v>
      </c>
      <c r="H620" s="42">
        <f>H622</f>
        <v>460466.6</v>
      </c>
      <c r="I620" s="117"/>
    </row>
    <row r="621" spans="1:9" s="1" customFormat="1" ht="33" customHeight="1">
      <c r="A621" s="50" t="s">
        <v>352</v>
      </c>
      <c r="B621" s="35" t="s">
        <v>97</v>
      </c>
      <c r="C621" s="8" t="s">
        <v>461</v>
      </c>
      <c r="D621" s="35" t="s">
        <v>351</v>
      </c>
      <c r="E621" s="42">
        <f>E622</f>
        <v>1070358</v>
      </c>
      <c r="F621" s="42">
        <f>F622</f>
        <v>1070358</v>
      </c>
      <c r="G621" s="42">
        <f>G622</f>
        <v>460466.6</v>
      </c>
      <c r="H621" s="42">
        <f>H622</f>
        <v>460466.6</v>
      </c>
      <c r="I621" s="117"/>
    </row>
    <row r="622" spans="1:9" s="1" customFormat="1" ht="22.5" customHeight="1">
      <c r="A622" s="50" t="s">
        <v>350</v>
      </c>
      <c r="B622" s="35" t="s">
        <v>97</v>
      </c>
      <c r="C622" s="8" t="s">
        <v>461</v>
      </c>
      <c r="D622" s="35" t="s">
        <v>349</v>
      </c>
      <c r="E622" s="42">
        <v>1070358</v>
      </c>
      <c r="F622" s="42">
        <f>E622</f>
        <v>1070358</v>
      </c>
      <c r="G622" s="42">
        <v>460466.6</v>
      </c>
      <c r="H622" s="42">
        <f>G622</f>
        <v>460466.6</v>
      </c>
      <c r="I622" s="117"/>
    </row>
    <row r="623" spans="1:9" s="1" customFormat="1" ht="48" customHeight="1">
      <c r="A623" s="49" t="s">
        <v>597</v>
      </c>
      <c r="B623" s="35" t="s">
        <v>97</v>
      </c>
      <c r="C623" s="37" t="s">
        <v>598</v>
      </c>
      <c r="D623" s="35"/>
      <c r="E623" s="42">
        <f aca="true" t="shared" si="20" ref="E623:H624">E624</f>
        <v>5090</v>
      </c>
      <c r="F623" s="42">
        <f t="shared" si="20"/>
        <v>5090</v>
      </c>
      <c r="G623" s="42">
        <f t="shared" si="20"/>
        <v>1960</v>
      </c>
      <c r="H623" s="42">
        <f t="shared" si="20"/>
        <v>1960</v>
      </c>
      <c r="I623" s="117"/>
    </row>
    <row r="624" spans="1:9" s="1" customFormat="1" ht="33" customHeight="1">
      <c r="A624" s="58" t="s">
        <v>352</v>
      </c>
      <c r="B624" s="35" t="s">
        <v>97</v>
      </c>
      <c r="C624" s="37" t="s">
        <v>598</v>
      </c>
      <c r="D624" s="35" t="s">
        <v>351</v>
      </c>
      <c r="E624" s="42">
        <f t="shared" si="20"/>
        <v>5090</v>
      </c>
      <c r="F624" s="42">
        <f t="shared" si="20"/>
        <v>5090</v>
      </c>
      <c r="G624" s="42">
        <f t="shared" si="20"/>
        <v>1960</v>
      </c>
      <c r="H624" s="42">
        <f t="shared" si="20"/>
        <v>1960</v>
      </c>
      <c r="I624" s="117"/>
    </row>
    <row r="625" spans="1:9" s="1" customFormat="1" ht="22.5" customHeight="1">
      <c r="A625" s="40" t="s">
        <v>350</v>
      </c>
      <c r="B625" s="35" t="s">
        <v>97</v>
      </c>
      <c r="C625" s="37" t="s">
        <v>598</v>
      </c>
      <c r="D625" s="35" t="s">
        <v>349</v>
      </c>
      <c r="E625" s="42">
        <v>5090</v>
      </c>
      <c r="F625" s="42">
        <f>E625</f>
        <v>5090</v>
      </c>
      <c r="G625" s="42">
        <v>1960</v>
      </c>
      <c r="H625" s="42">
        <f>G625</f>
        <v>1960</v>
      </c>
      <c r="I625" s="117"/>
    </row>
    <row r="626" spans="1:9" s="1" customFormat="1" ht="75" customHeight="1">
      <c r="A626" s="41" t="s">
        <v>668</v>
      </c>
      <c r="B626" s="35" t="s">
        <v>97</v>
      </c>
      <c r="C626" s="37" t="s">
        <v>669</v>
      </c>
      <c r="D626" s="35"/>
      <c r="E626" s="42">
        <f aca="true" t="shared" si="21" ref="E626:H627">E627</f>
        <v>985</v>
      </c>
      <c r="F626" s="42">
        <f t="shared" si="21"/>
        <v>985</v>
      </c>
      <c r="G626" s="42">
        <f t="shared" si="21"/>
        <v>0</v>
      </c>
      <c r="H626" s="42">
        <f t="shared" si="21"/>
        <v>0</v>
      </c>
      <c r="I626" s="117"/>
    </row>
    <row r="627" spans="1:9" s="1" customFormat="1" ht="31.5" customHeight="1">
      <c r="A627" s="58" t="s">
        <v>352</v>
      </c>
      <c r="B627" s="35" t="s">
        <v>97</v>
      </c>
      <c r="C627" s="37" t="s">
        <v>669</v>
      </c>
      <c r="D627" s="35" t="s">
        <v>351</v>
      </c>
      <c r="E627" s="42">
        <f t="shared" si="21"/>
        <v>985</v>
      </c>
      <c r="F627" s="42">
        <f t="shared" si="21"/>
        <v>985</v>
      </c>
      <c r="G627" s="42">
        <f t="shared" si="21"/>
        <v>0</v>
      </c>
      <c r="H627" s="42">
        <f t="shared" si="21"/>
        <v>0</v>
      </c>
      <c r="I627" s="117"/>
    </row>
    <row r="628" spans="1:9" s="1" customFormat="1" ht="22.5" customHeight="1">
      <c r="A628" s="40" t="s">
        <v>350</v>
      </c>
      <c r="B628" s="35" t="s">
        <v>97</v>
      </c>
      <c r="C628" s="37" t="s">
        <v>669</v>
      </c>
      <c r="D628" s="35" t="s">
        <v>349</v>
      </c>
      <c r="E628" s="42">
        <f>985</f>
        <v>985</v>
      </c>
      <c r="F628" s="42">
        <f>E628</f>
        <v>985</v>
      </c>
      <c r="G628" s="42">
        <v>0</v>
      </c>
      <c r="H628" s="42">
        <f>G628</f>
        <v>0</v>
      </c>
      <c r="I628" s="117"/>
    </row>
    <row r="629" spans="1:9" s="1" customFormat="1" ht="75.75" customHeight="1">
      <c r="A629" s="41" t="s">
        <v>655</v>
      </c>
      <c r="B629" s="35" t="s">
        <v>97</v>
      </c>
      <c r="C629" s="37" t="s">
        <v>656</v>
      </c>
      <c r="D629" s="35"/>
      <c r="E629" s="42">
        <f aca="true" t="shared" si="22" ref="E629:H630">E630</f>
        <v>500</v>
      </c>
      <c r="F629" s="42">
        <f t="shared" si="22"/>
        <v>500</v>
      </c>
      <c r="G629" s="42">
        <f t="shared" si="22"/>
        <v>0</v>
      </c>
      <c r="H629" s="42">
        <f t="shared" si="22"/>
        <v>0</v>
      </c>
      <c r="I629" s="117"/>
    </row>
    <row r="630" spans="1:9" s="1" customFormat="1" ht="29.25" customHeight="1">
      <c r="A630" s="58" t="s">
        <v>352</v>
      </c>
      <c r="B630" s="35" t="s">
        <v>97</v>
      </c>
      <c r="C630" s="37" t="s">
        <v>656</v>
      </c>
      <c r="D630" s="35" t="s">
        <v>351</v>
      </c>
      <c r="E630" s="42">
        <f t="shared" si="22"/>
        <v>500</v>
      </c>
      <c r="F630" s="42">
        <f t="shared" si="22"/>
        <v>500</v>
      </c>
      <c r="G630" s="42">
        <f t="shared" si="22"/>
        <v>0</v>
      </c>
      <c r="H630" s="42">
        <f t="shared" si="22"/>
        <v>0</v>
      </c>
      <c r="I630" s="117"/>
    </row>
    <row r="631" spans="1:9" s="1" customFormat="1" ht="22.5" customHeight="1">
      <c r="A631" s="40" t="s">
        <v>350</v>
      </c>
      <c r="B631" s="35" t="s">
        <v>97</v>
      </c>
      <c r="C631" s="37" t="s">
        <v>656</v>
      </c>
      <c r="D631" s="35" t="s">
        <v>349</v>
      </c>
      <c r="E631" s="42">
        <f>500</f>
        <v>500</v>
      </c>
      <c r="F631" s="42">
        <f>E631</f>
        <v>500</v>
      </c>
      <c r="G631" s="42">
        <v>0</v>
      </c>
      <c r="H631" s="42">
        <f>G631</f>
        <v>0</v>
      </c>
      <c r="I631" s="117"/>
    </row>
    <row r="632" spans="1:9" s="1" customFormat="1" ht="32.25" customHeight="1">
      <c r="A632" s="50" t="s">
        <v>252</v>
      </c>
      <c r="B632" s="35" t="s">
        <v>97</v>
      </c>
      <c r="C632" s="8" t="s">
        <v>138</v>
      </c>
      <c r="D632" s="35"/>
      <c r="E632" s="42">
        <f>E633</f>
        <v>559825.7999999999</v>
      </c>
      <c r="F632" s="42"/>
      <c r="G632" s="42">
        <f>G633</f>
        <v>231807.5</v>
      </c>
      <c r="H632" s="42"/>
      <c r="I632" s="117"/>
    </row>
    <row r="633" spans="1:9" s="1" customFormat="1" ht="21" customHeight="1">
      <c r="A633" s="58" t="s">
        <v>294</v>
      </c>
      <c r="B633" s="35" t="s">
        <v>97</v>
      </c>
      <c r="C633" s="8" t="s">
        <v>139</v>
      </c>
      <c r="D633" s="35"/>
      <c r="E633" s="42">
        <f>E637+E643+E640+E649+E634+E646</f>
        <v>559825.7999999999</v>
      </c>
      <c r="F633" s="42"/>
      <c r="G633" s="42">
        <f>G637+G643+G640+G649+G634+G646</f>
        <v>231807.5</v>
      </c>
      <c r="H633" s="42"/>
      <c r="I633" s="117"/>
    </row>
    <row r="634" spans="1:9" s="1" customFormat="1" ht="90.75" customHeight="1">
      <c r="A634" s="58" t="s">
        <v>670</v>
      </c>
      <c r="B634" s="35" t="s">
        <v>97</v>
      </c>
      <c r="C634" s="37" t="s">
        <v>229</v>
      </c>
      <c r="D634" s="35"/>
      <c r="E634" s="38">
        <f>E635</f>
        <v>2478.7</v>
      </c>
      <c r="F634" s="42"/>
      <c r="G634" s="38">
        <f>G635</f>
        <v>1482.7</v>
      </c>
      <c r="H634" s="42"/>
      <c r="I634" s="117"/>
    </row>
    <row r="635" spans="1:9" s="1" customFormat="1" ht="28.5" customHeight="1">
      <c r="A635" s="34" t="s">
        <v>352</v>
      </c>
      <c r="B635" s="35" t="s">
        <v>97</v>
      </c>
      <c r="C635" s="37" t="s">
        <v>229</v>
      </c>
      <c r="D635" s="35" t="s">
        <v>351</v>
      </c>
      <c r="E635" s="42">
        <f>E636</f>
        <v>2478.7</v>
      </c>
      <c r="F635" s="42"/>
      <c r="G635" s="42">
        <f>G636</f>
        <v>1482.7</v>
      </c>
      <c r="H635" s="42"/>
      <c r="I635" s="117"/>
    </row>
    <row r="636" spans="1:9" s="1" customFormat="1" ht="21" customHeight="1">
      <c r="A636" s="40" t="s">
        <v>350</v>
      </c>
      <c r="B636" s="35" t="s">
        <v>97</v>
      </c>
      <c r="C636" s="37" t="s">
        <v>229</v>
      </c>
      <c r="D636" s="35" t="s">
        <v>349</v>
      </c>
      <c r="E636" s="42">
        <v>2478.7</v>
      </c>
      <c r="F636" s="42"/>
      <c r="G636" s="42">
        <v>1482.7</v>
      </c>
      <c r="H636" s="42"/>
      <c r="I636" s="117"/>
    </row>
    <row r="637" spans="1:9" s="1" customFormat="1" ht="25.5" customHeight="1">
      <c r="A637" s="41" t="s">
        <v>120</v>
      </c>
      <c r="B637" s="35" t="s">
        <v>97</v>
      </c>
      <c r="C637" s="8" t="s">
        <v>364</v>
      </c>
      <c r="D637" s="35"/>
      <c r="E637" s="42">
        <f>E638</f>
        <v>455184.6</v>
      </c>
      <c r="F637" s="42"/>
      <c r="G637" s="42">
        <f>G638</f>
        <v>205723.1</v>
      </c>
      <c r="H637" s="42"/>
      <c r="I637" s="117"/>
    </row>
    <row r="638" spans="1:9" s="1" customFormat="1" ht="33.75" customHeight="1">
      <c r="A638" s="34" t="s">
        <v>352</v>
      </c>
      <c r="B638" s="35" t="s">
        <v>97</v>
      </c>
      <c r="C638" s="8" t="s">
        <v>364</v>
      </c>
      <c r="D638" s="35" t="s">
        <v>351</v>
      </c>
      <c r="E638" s="42">
        <f>E639</f>
        <v>455184.6</v>
      </c>
      <c r="F638" s="42"/>
      <c r="G638" s="42">
        <f>G639</f>
        <v>205723.1</v>
      </c>
      <c r="H638" s="42"/>
      <c r="I638" s="117"/>
    </row>
    <row r="639" spans="1:9" s="1" customFormat="1" ht="20.25" customHeight="1">
      <c r="A639" s="41" t="s">
        <v>350</v>
      </c>
      <c r="B639" s="35" t="s">
        <v>97</v>
      </c>
      <c r="C639" s="8" t="s">
        <v>364</v>
      </c>
      <c r="D639" s="35" t="s">
        <v>349</v>
      </c>
      <c r="E639" s="42">
        <f>453795.3-860.7+2250</f>
        <v>455184.6</v>
      </c>
      <c r="F639" s="42"/>
      <c r="G639" s="42">
        <v>205723.1</v>
      </c>
      <c r="H639" s="42"/>
      <c r="I639" s="117"/>
    </row>
    <row r="640" spans="1:9" s="1" customFormat="1" ht="20.25" customHeight="1">
      <c r="A640" s="41" t="s">
        <v>415</v>
      </c>
      <c r="B640" s="35" t="s">
        <v>97</v>
      </c>
      <c r="C640" s="8" t="s">
        <v>365</v>
      </c>
      <c r="D640" s="35"/>
      <c r="E640" s="42">
        <f>E641</f>
        <v>262.8</v>
      </c>
      <c r="F640" s="42"/>
      <c r="G640" s="42">
        <f>G641</f>
        <v>118.9</v>
      </c>
      <c r="H640" s="42"/>
      <c r="I640" s="117"/>
    </row>
    <row r="641" spans="1:9" s="1" customFormat="1" ht="29.25" customHeight="1">
      <c r="A641" s="58" t="s">
        <v>352</v>
      </c>
      <c r="B641" s="35" t="s">
        <v>97</v>
      </c>
      <c r="C641" s="37" t="s">
        <v>365</v>
      </c>
      <c r="D641" s="35" t="s">
        <v>351</v>
      </c>
      <c r="E641" s="42">
        <f>E642</f>
        <v>262.8</v>
      </c>
      <c r="F641" s="42"/>
      <c r="G641" s="42">
        <f>G642</f>
        <v>118.9</v>
      </c>
      <c r="H641" s="42"/>
      <c r="I641" s="117"/>
    </row>
    <row r="642" spans="1:9" s="1" customFormat="1" ht="20.25" customHeight="1">
      <c r="A642" s="41" t="s">
        <v>350</v>
      </c>
      <c r="B642" s="35" t="s">
        <v>97</v>
      </c>
      <c r="C642" s="37" t="s">
        <v>365</v>
      </c>
      <c r="D642" s="35" t="s">
        <v>349</v>
      </c>
      <c r="E642" s="42">
        <v>262.8</v>
      </c>
      <c r="F642" s="42"/>
      <c r="G642" s="42">
        <v>118.9</v>
      </c>
      <c r="H642" s="42"/>
      <c r="I642" s="117"/>
    </row>
    <row r="643" spans="1:9" s="1" customFormat="1" ht="19.5" customHeight="1">
      <c r="A643" s="41" t="s">
        <v>411</v>
      </c>
      <c r="B643" s="35" t="s">
        <v>97</v>
      </c>
      <c r="C643" s="8" t="s">
        <v>366</v>
      </c>
      <c r="D643" s="35"/>
      <c r="E643" s="42">
        <f>E644</f>
        <v>100939</v>
      </c>
      <c r="F643" s="42"/>
      <c r="G643" s="42">
        <f>G644</f>
        <v>24482.8</v>
      </c>
      <c r="H643" s="42"/>
      <c r="I643" s="117"/>
    </row>
    <row r="644" spans="1:9" s="1" customFormat="1" ht="33.75" customHeight="1">
      <c r="A644" s="34" t="s">
        <v>352</v>
      </c>
      <c r="B644" s="35" t="s">
        <v>97</v>
      </c>
      <c r="C644" s="8" t="s">
        <v>366</v>
      </c>
      <c r="D644" s="35" t="s">
        <v>351</v>
      </c>
      <c r="E644" s="42">
        <f>E645</f>
        <v>100939</v>
      </c>
      <c r="F644" s="42"/>
      <c r="G644" s="42">
        <f>G645</f>
        <v>24482.8</v>
      </c>
      <c r="H644" s="42"/>
      <c r="I644" s="117"/>
    </row>
    <row r="645" spans="1:9" s="1" customFormat="1" ht="21.75" customHeight="1">
      <c r="A645" s="41" t="s">
        <v>350</v>
      </c>
      <c r="B645" s="35" t="s">
        <v>97</v>
      </c>
      <c r="C645" s="8" t="s">
        <v>366</v>
      </c>
      <c r="D645" s="35" t="s">
        <v>349</v>
      </c>
      <c r="E645" s="42">
        <f>91100-5000+400+5000+4140+1528.8+3770.2</f>
        <v>100939</v>
      </c>
      <c r="F645" s="42"/>
      <c r="G645" s="42">
        <v>24482.8</v>
      </c>
      <c r="H645" s="42"/>
      <c r="I645" s="117"/>
    </row>
    <row r="646" spans="1:9" s="1" customFormat="1" ht="30" customHeight="1">
      <c r="A646" s="41" t="s">
        <v>722</v>
      </c>
      <c r="B646" s="35" t="s">
        <v>97</v>
      </c>
      <c r="C646" s="8" t="s">
        <v>721</v>
      </c>
      <c r="D646" s="35"/>
      <c r="E646" s="42">
        <f>E647</f>
        <v>860.7</v>
      </c>
      <c r="F646" s="42"/>
      <c r="G646" s="42">
        <f>G647</f>
        <v>0</v>
      </c>
      <c r="H646" s="42"/>
      <c r="I646" s="117"/>
    </row>
    <row r="647" spans="1:9" s="1" customFormat="1" ht="32.25" customHeight="1">
      <c r="A647" s="34" t="s">
        <v>352</v>
      </c>
      <c r="B647" s="35" t="s">
        <v>97</v>
      </c>
      <c r="C647" s="8" t="s">
        <v>721</v>
      </c>
      <c r="D647" s="35" t="s">
        <v>351</v>
      </c>
      <c r="E647" s="42">
        <f>E648</f>
        <v>860.7</v>
      </c>
      <c r="F647" s="42"/>
      <c r="G647" s="42">
        <f>G648</f>
        <v>0</v>
      </c>
      <c r="H647" s="42"/>
      <c r="I647" s="117"/>
    </row>
    <row r="648" spans="1:9" s="1" customFormat="1" ht="21.75" customHeight="1">
      <c r="A648" s="41" t="s">
        <v>350</v>
      </c>
      <c r="B648" s="35" t="s">
        <v>97</v>
      </c>
      <c r="C648" s="8" t="s">
        <v>721</v>
      </c>
      <c r="D648" s="35" t="s">
        <v>349</v>
      </c>
      <c r="E648" s="42">
        <v>860.7</v>
      </c>
      <c r="F648" s="42"/>
      <c r="G648" s="42">
        <v>0</v>
      </c>
      <c r="H648" s="42"/>
      <c r="I648" s="117"/>
    </row>
    <row r="649" spans="1:9" s="1" customFormat="1" ht="32.25" customHeight="1">
      <c r="A649" s="41" t="s">
        <v>422</v>
      </c>
      <c r="B649" s="35" t="s">
        <v>97</v>
      </c>
      <c r="C649" s="37" t="s">
        <v>230</v>
      </c>
      <c r="D649" s="35"/>
      <c r="E649" s="42">
        <f>E650</f>
        <v>100</v>
      </c>
      <c r="F649" s="42"/>
      <c r="G649" s="42">
        <f>G650</f>
        <v>0</v>
      </c>
      <c r="H649" s="42"/>
      <c r="I649" s="117"/>
    </row>
    <row r="650" spans="1:9" s="1" customFormat="1" ht="28.5" customHeight="1">
      <c r="A650" s="34" t="s">
        <v>352</v>
      </c>
      <c r="B650" s="35" t="s">
        <v>97</v>
      </c>
      <c r="C650" s="37" t="s">
        <v>230</v>
      </c>
      <c r="D650" s="35" t="s">
        <v>351</v>
      </c>
      <c r="E650" s="42">
        <f>E651</f>
        <v>100</v>
      </c>
      <c r="F650" s="42"/>
      <c r="G650" s="42">
        <f>G651</f>
        <v>0</v>
      </c>
      <c r="H650" s="42"/>
      <c r="I650" s="117"/>
    </row>
    <row r="651" spans="1:9" s="1" customFormat="1" ht="21.75" customHeight="1">
      <c r="A651" s="40" t="s">
        <v>350</v>
      </c>
      <c r="B651" s="35" t="s">
        <v>97</v>
      </c>
      <c r="C651" s="37" t="s">
        <v>230</v>
      </c>
      <c r="D651" s="35" t="s">
        <v>349</v>
      </c>
      <c r="E651" s="42">
        <f>200-100</f>
        <v>100</v>
      </c>
      <c r="F651" s="42"/>
      <c r="G651" s="42">
        <v>0</v>
      </c>
      <c r="H651" s="42"/>
      <c r="I651" s="117"/>
    </row>
    <row r="652" spans="1:9" s="1" customFormat="1" ht="21" customHeight="1">
      <c r="A652" s="69" t="s">
        <v>103</v>
      </c>
      <c r="B652" s="61" t="s">
        <v>123</v>
      </c>
      <c r="C652" s="61"/>
      <c r="D652" s="61"/>
      <c r="E652" s="9">
        <f>E653+E731+E741</f>
        <v>2863692.7</v>
      </c>
      <c r="F652" s="9">
        <f>F653+F731</f>
        <v>2295715.1</v>
      </c>
      <c r="G652" s="9">
        <f>G653+G731+G741</f>
        <v>1215805.7999999998</v>
      </c>
      <c r="H652" s="9">
        <f>H653+H731</f>
        <v>991441.5</v>
      </c>
      <c r="I652" s="117"/>
    </row>
    <row r="653" spans="1:9" s="1" customFormat="1" ht="45" customHeight="1">
      <c r="A653" s="50" t="s">
        <v>281</v>
      </c>
      <c r="B653" s="36" t="s">
        <v>123</v>
      </c>
      <c r="C653" s="8" t="s">
        <v>138</v>
      </c>
      <c r="D653" s="35"/>
      <c r="E653" s="64">
        <f>E654</f>
        <v>2859692.7</v>
      </c>
      <c r="F653" s="64">
        <f>F654</f>
        <v>2293215.1</v>
      </c>
      <c r="G653" s="64">
        <f>G654</f>
        <v>1215306.4</v>
      </c>
      <c r="H653" s="64">
        <f>H654</f>
        <v>991441.5</v>
      </c>
      <c r="I653" s="117"/>
    </row>
    <row r="654" spans="1:9" s="1" customFormat="1" ht="16.5" customHeight="1">
      <c r="A654" s="34" t="s">
        <v>295</v>
      </c>
      <c r="B654" s="36" t="s">
        <v>123</v>
      </c>
      <c r="C654" s="8" t="s">
        <v>34</v>
      </c>
      <c r="D654" s="35"/>
      <c r="E654" s="64">
        <f>E658+E693+E661+E664+E668+E671+E680+E686+E677+E689+E655+E683+E674</f>
        <v>2859692.7</v>
      </c>
      <c r="F654" s="64">
        <f>F658+F693+F661+F664+F668+F671+F680+F686+F677+F689+F655+F683+F674</f>
        <v>2293215.1</v>
      </c>
      <c r="G654" s="64">
        <f>G658+G693+G661+G664+G668+G671+G680+G686+G677+G689+G655+G683+G674</f>
        <v>1215306.4</v>
      </c>
      <c r="H654" s="64">
        <f>H658+H693+H661+H664+H668+H671+H680+H686+H677+H689+H655+H683+H674</f>
        <v>991441.5</v>
      </c>
      <c r="I654" s="117"/>
    </row>
    <row r="655" spans="1:9" s="1" customFormat="1" ht="47.25" customHeight="1">
      <c r="A655" s="49" t="s">
        <v>597</v>
      </c>
      <c r="B655" s="36" t="s">
        <v>123</v>
      </c>
      <c r="C655" s="37" t="s">
        <v>599</v>
      </c>
      <c r="D655" s="35"/>
      <c r="E655" s="42">
        <f aca="true" t="shared" si="23" ref="E655:H656">E656</f>
        <v>2750</v>
      </c>
      <c r="F655" s="42">
        <f t="shared" si="23"/>
        <v>2750</v>
      </c>
      <c r="G655" s="42">
        <f t="shared" si="23"/>
        <v>1350</v>
      </c>
      <c r="H655" s="42">
        <f t="shared" si="23"/>
        <v>1350</v>
      </c>
      <c r="I655" s="117"/>
    </row>
    <row r="656" spans="1:9" s="1" customFormat="1" ht="33" customHeight="1">
      <c r="A656" s="58" t="s">
        <v>352</v>
      </c>
      <c r="B656" s="36" t="s">
        <v>123</v>
      </c>
      <c r="C656" s="37" t="s">
        <v>599</v>
      </c>
      <c r="D656" s="35" t="s">
        <v>351</v>
      </c>
      <c r="E656" s="42">
        <f t="shared" si="23"/>
        <v>2750</v>
      </c>
      <c r="F656" s="42">
        <f t="shared" si="23"/>
        <v>2750</v>
      </c>
      <c r="G656" s="42">
        <f t="shared" si="23"/>
        <v>1350</v>
      </c>
      <c r="H656" s="42">
        <f t="shared" si="23"/>
        <v>1350</v>
      </c>
      <c r="I656" s="117"/>
    </row>
    <row r="657" spans="1:9" s="1" customFormat="1" ht="16.5" customHeight="1">
      <c r="A657" s="40" t="s">
        <v>350</v>
      </c>
      <c r="B657" s="36" t="s">
        <v>123</v>
      </c>
      <c r="C657" s="37" t="s">
        <v>599</v>
      </c>
      <c r="D657" s="35" t="s">
        <v>349</v>
      </c>
      <c r="E657" s="42">
        <v>2750</v>
      </c>
      <c r="F657" s="42">
        <f>E657</f>
        <v>2750</v>
      </c>
      <c r="G657" s="42">
        <v>1350</v>
      </c>
      <c r="H657" s="42">
        <f>G657</f>
        <v>1350</v>
      </c>
      <c r="I657" s="117"/>
    </row>
    <row r="658" spans="1:9" s="1" customFormat="1" ht="166.5" customHeight="1">
      <c r="A658" s="70" t="s">
        <v>288</v>
      </c>
      <c r="B658" s="36" t="s">
        <v>123</v>
      </c>
      <c r="C658" s="8" t="s">
        <v>462</v>
      </c>
      <c r="D658" s="37"/>
      <c r="E658" s="55">
        <f aca="true" t="shared" si="24" ref="E658:H659">E659</f>
        <v>1641143</v>
      </c>
      <c r="F658" s="55">
        <f t="shared" si="24"/>
        <v>1641143</v>
      </c>
      <c r="G658" s="55">
        <f t="shared" si="24"/>
        <v>905267.1</v>
      </c>
      <c r="H658" s="55">
        <f t="shared" si="24"/>
        <v>905267.1</v>
      </c>
      <c r="I658" s="117"/>
    </row>
    <row r="659" spans="1:9" s="1" customFormat="1" ht="32.25" customHeight="1">
      <c r="A659" s="34" t="s">
        <v>352</v>
      </c>
      <c r="B659" s="36" t="s">
        <v>123</v>
      </c>
      <c r="C659" s="8" t="s">
        <v>462</v>
      </c>
      <c r="D659" s="8" t="s">
        <v>351</v>
      </c>
      <c r="E659" s="55">
        <f t="shared" si="24"/>
        <v>1641143</v>
      </c>
      <c r="F659" s="55">
        <f t="shared" si="24"/>
        <v>1641143</v>
      </c>
      <c r="G659" s="55">
        <f t="shared" si="24"/>
        <v>905267.1</v>
      </c>
      <c r="H659" s="55">
        <f t="shared" si="24"/>
        <v>905267.1</v>
      </c>
      <c r="I659" s="117"/>
    </row>
    <row r="660" spans="1:9" s="1" customFormat="1" ht="21" customHeight="1">
      <c r="A660" s="40" t="s">
        <v>350</v>
      </c>
      <c r="B660" s="36" t="s">
        <v>123</v>
      </c>
      <c r="C660" s="8" t="s">
        <v>462</v>
      </c>
      <c r="D660" s="37" t="s">
        <v>349</v>
      </c>
      <c r="E660" s="38">
        <v>1641143</v>
      </c>
      <c r="F660" s="38">
        <f>E660</f>
        <v>1641143</v>
      </c>
      <c r="G660" s="38">
        <v>905267.1</v>
      </c>
      <c r="H660" s="38">
        <f>G660</f>
        <v>905267.1</v>
      </c>
      <c r="I660" s="117"/>
    </row>
    <row r="661" spans="1:9" s="1" customFormat="1" ht="150.75" customHeight="1">
      <c r="A661" s="70" t="s">
        <v>428</v>
      </c>
      <c r="B661" s="36" t="s">
        <v>123</v>
      </c>
      <c r="C661" s="46" t="s">
        <v>464</v>
      </c>
      <c r="D661" s="46"/>
      <c r="E661" s="55">
        <f>E663</f>
        <v>35184</v>
      </c>
      <c r="F661" s="55">
        <f>F663</f>
        <v>35184</v>
      </c>
      <c r="G661" s="55">
        <f>G663</f>
        <v>21578.5</v>
      </c>
      <c r="H661" s="55">
        <f>H663</f>
        <v>21578.5</v>
      </c>
      <c r="I661" s="117"/>
    </row>
    <row r="662" spans="1:9" s="1" customFormat="1" ht="29.25" customHeight="1">
      <c r="A662" s="34" t="s">
        <v>352</v>
      </c>
      <c r="B662" s="36" t="s">
        <v>123</v>
      </c>
      <c r="C662" s="46" t="s">
        <v>464</v>
      </c>
      <c r="D662" s="46" t="s">
        <v>351</v>
      </c>
      <c r="E662" s="55">
        <f>E663</f>
        <v>35184</v>
      </c>
      <c r="F662" s="55">
        <f>F663</f>
        <v>35184</v>
      </c>
      <c r="G662" s="55">
        <f>G663</f>
        <v>21578.5</v>
      </c>
      <c r="H662" s="55">
        <f>H663</f>
        <v>21578.5</v>
      </c>
      <c r="I662" s="117"/>
    </row>
    <row r="663" spans="1:9" s="1" customFormat="1" ht="30" customHeight="1">
      <c r="A663" s="71" t="s">
        <v>50</v>
      </c>
      <c r="B663" s="36" t="s">
        <v>123</v>
      </c>
      <c r="C663" s="46" t="s">
        <v>464</v>
      </c>
      <c r="D663" s="45" t="s">
        <v>86</v>
      </c>
      <c r="E663" s="38">
        <v>35184</v>
      </c>
      <c r="F663" s="38">
        <f>E663</f>
        <v>35184</v>
      </c>
      <c r="G663" s="38">
        <v>21578.5</v>
      </c>
      <c r="H663" s="38">
        <f>G663</f>
        <v>21578.5</v>
      </c>
      <c r="I663" s="117"/>
    </row>
    <row r="664" spans="1:9" s="1" customFormat="1" ht="107.25" customHeight="1">
      <c r="A664" s="70" t="s">
        <v>286</v>
      </c>
      <c r="B664" s="36" t="s">
        <v>123</v>
      </c>
      <c r="C664" s="8" t="s">
        <v>463</v>
      </c>
      <c r="D664" s="8"/>
      <c r="E664" s="55">
        <f>E665</f>
        <v>113661</v>
      </c>
      <c r="F664" s="55">
        <f>F665</f>
        <v>113661</v>
      </c>
      <c r="G664" s="55">
        <f>G665</f>
        <v>56643</v>
      </c>
      <c r="H664" s="55">
        <f>H665</f>
        <v>56643</v>
      </c>
      <c r="I664" s="117"/>
    </row>
    <row r="665" spans="1:9" s="1" customFormat="1" ht="30" customHeight="1">
      <c r="A665" s="34" t="s">
        <v>352</v>
      </c>
      <c r="B665" s="36" t="s">
        <v>123</v>
      </c>
      <c r="C665" s="8" t="s">
        <v>463</v>
      </c>
      <c r="D665" s="8" t="s">
        <v>351</v>
      </c>
      <c r="E665" s="55">
        <f>E666+E667</f>
        <v>113661</v>
      </c>
      <c r="F665" s="55">
        <f>F666+F667</f>
        <v>113661</v>
      </c>
      <c r="G665" s="55">
        <f>G666+G667</f>
        <v>56643</v>
      </c>
      <c r="H665" s="55">
        <f>H666+H667</f>
        <v>56643</v>
      </c>
      <c r="I665" s="117"/>
    </row>
    <row r="666" spans="1:9" s="1" customFormat="1" ht="21.75" customHeight="1">
      <c r="A666" s="40" t="s">
        <v>350</v>
      </c>
      <c r="B666" s="36" t="s">
        <v>123</v>
      </c>
      <c r="C666" s="8" t="s">
        <v>463</v>
      </c>
      <c r="D666" s="37" t="s">
        <v>349</v>
      </c>
      <c r="E666" s="38">
        <v>111475.9</v>
      </c>
      <c r="F666" s="38">
        <f>E666</f>
        <v>111475.9</v>
      </c>
      <c r="G666" s="38">
        <v>55781</v>
      </c>
      <c r="H666" s="38">
        <f>G666</f>
        <v>55781</v>
      </c>
      <c r="I666" s="117"/>
    </row>
    <row r="667" spans="1:9" s="1" customFormat="1" ht="30" customHeight="1">
      <c r="A667" s="65" t="s">
        <v>50</v>
      </c>
      <c r="B667" s="36" t="s">
        <v>123</v>
      </c>
      <c r="C667" s="8" t="s">
        <v>463</v>
      </c>
      <c r="D667" s="8" t="s">
        <v>86</v>
      </c>
      <c r="E667" s="55">
        <v>2185.1</v>
      </c>
      <c r="F667" s="55">
        <f>E667</f>
        <v>2185.1</v>
      </c>
      <c r="G667" s="55">
        <v>862</v>
      </c>
      <c r="H667" s="55">
        <f>G667</f>
        <v>862</v>
      </c>
      <c r="I667" s="117"/>
    </row>
    <row r="668" spans="1:9" s="1" customFormat="1" ht="58.5" customHeight="1">
      <c r="A668" s="39" t="s">
        <v>432</v>
      </c>
      <c r="B668" s="36" t="s">
        <v>123</v>
      </c>
      <c r="C668" s="8" t="s">
        <v>465</v>
      </c>
      <c r="D668" s="8"/>
      <c r="E668" s="55">
        <f>E670</f>
        <v>1223</v>
      </c>
      <c r="F668" s="55">
        <f>F670</f>
        <v>1223</v>
      </c>
      <c r="G668" s="55">
        <f>G670</f>
        <v>134.8</v>
      </c>
      <c r="H668" s="55">
        <f>H670</f>
        <v>134.8</v>
      </c>
      <c r="I668" s="117"/>
    </row>
    <row r="669" spans="1:9" s="1" customFormat="1" ht="32.25" customHeight="1">
      <c r="A669" s="58" t="s">
        <v>352</v>
      </c>
      <c r="B669" s="36" t="s">
        <v>123</v>
      </c>
      <c r="C669" s="8" t="s">
        <v>465</v>
      </c>
      <c r="D669" s="37" t="s">
        <v>351</v>
      </c>
      <c r="E669" s="38">
        <f>E670</f>
        <v>1223</v>
      </c>
      <c r="F669" s="38">
        <f>F670</f>
        <v>1223</v>
      </c>
      <c r="G669" s="38">
        <f>G670</f>
        <v>134.8</v>
      </c>
      <c r="H669" s="38">
        <f>H670</f>
        <v>134.8</v>
      </c>
      <c r="I669" s="117"/>
    </row>
    <row r="670" spans="1:9" s="1" customFormat="1" ht="24" customHeight="1">
      <c r="A670" s="40" t="s">
        <v>350</v>
      </c>
      <c r="B670" s="36" t="s">
        <v>123</v>
      </c>
      <c r="C670" s="8" t="s">
        <v>465</v>
      </c>
      <c r="D670" s="37" t="s">
        <v>349</v>
      </c>
      <c r="E670" s="38">
        <v>1223</v>
      </c>
      <c r="F670" s="38">
        <f>E670</f>
        <v>1223</v>
      </c>
      <c r="G670" s="38">
        <v>134.8</v>
      </c>
      <c r="H670" s="38">
        <f>G670</f>
        <v>134.8</v>
      </c>
      <c r="I670" s="117"/>
    </row>
    <row r="671" spans="1:9" s="1" customFormat="1" ht="90" customHeight="1">
      <c r="A671" s="70" t="s">
        <v>439</v>
      </c>
      <c r="B671" s="36" t="s">
        <v>123</v>
      </c>
      <c r="C671" s="8" t="s">
        <v>466</v>
      </c>
      <c r="D671" s="46"/>
      <c r="E671" s="51">
        <f aca="true" t="shared" si="25" ref="E671:H672">E672</f>
        <v>13329</v>
      </c>
      <c r="F671" s="51">
        <f t="shared" si="25"/>
        <v>13329</v>
      </c>
      <c r="G671" s="51">
        <f t="shared" si="25"/>
        <v>5003.9</v>
      </c>
      <c r="H671" s="51">
        <f t="shared" si="25"/>
        <v>5003.9</v>
      </c>
      <c r="I671" s="117"/>
    </row>
    <row r="672" spans="1:9" s="1" customFormat="1" ht="30" customHeight="1">
      <c r="A672" s="58" t="s">
        <v>352</v>
      </c>
      <c r="B672" s="36" t="s">
        <v>123</v>
      </c>
      <c r="C672" s="8" t="s">
        <v>466</v>
      </c>
      <c r="D672" s="37" t="s">
        <v>351</v>
      </c>
      <c r="E672" s="38">
        <f t="shared" si="25"/>
        <v>13329</v>
      </c>
      <c r="F672" s="38">
        <f t="shared" si="25"/>
        <v>13329</v>
      </c>
      <c r="G672" s="38">
        <f t="shared" si="25"/>
        <v>5003.9</v>
      </c>
      <c r="H672" s="38">
        <f t="shared" si="25"/>
        <v>5003.9</v>
      </c>
      <c r="I672" s="117"/>
    </row>
    <row r="673" spans="1:9" s="1" customFormat="1" ht="33" customHeight="1">
      <c r="A673" s="71" t="s">
        <v>50</v>
      </c>
      <c r="B673" s="36" t="s">
        <v>123</v>
      </c>
      <c r="C673" s="8" t="s">
        <v>466</v>
      </c>
      <c r="D673" s="37" t="s">
        <v>86</v>
      </c>
      <c r="E673" s="38">
        <v>13329</v>
      </c>
      <c r="F673" s="38">
        <f>E673</f>
        <v>13329</v>
      </c>
      <c r="G673" s="38">
        <v>5003.9</v>
      </c>
      <c r="H673" s="38">
        <f>G673</f>
        <v>5003.9</v>
      </c>
      <c r="I673" s="117"/>
    </row>
    <row r="674" spans="1:9" s="1" customFormat="1" ht="78" customHeight="1">
      <c r="A674" s="41" t="s">
        <v>668</v>
      </c>
      <c r="B674" s="36" t="s">
        <v>123</v>
      </c>
      <c r="C674" s="37" t="s">
        <v>671</v>
      </c>
      <c r="D674" s="35"/>
      <c r="E674" s="42">
        <f aca="true" t="shared" si="26" ref="E674:H675">E675</f>
        <v>2596</v>
      </c>
      <c r="F674" s="42">
        <f t="shared" si="26"/>
        <v>2596</v>
      </c>
      <c r="G674" s="42">
        <f t="shared" si="26"/>
        <v>0</v>
      </c>
      <c r="H674" s="42">
        <f t="shared" si="26"/>
        <v>0</v>
      </c>
      <c r="I674" s="117"/>
    </row>
    <row r="675" spans="1:9" s="1" customFormat="1" ht="33" customHeight="1">
      <c r="A675" s="58" t="s">
        <v>352</v>
      </c>
      <c r="B675" s="36" t="s">
        <v>123</v>
      </c>
      <c r="C675" s="37" t="s">
        <v>671</v>
      </c>
      <c r="D675" s="35" t="s">
        <v>351</v>
      </c>
      <c r="E675" s="42">
        <f t="shared" si="26"/>
        <v>2596</v>
      </c>
      <c r="F675" s="42">
        <f t="shared" si="26"/>
        <v>2596</v>
      </c>
      <c r="G675" s="42">
        <f t="shared" si="26"/>
        <v>0</v>
      </c>
      <c r="H675" s="42">
        <f t="shared" si="26"/>
        <v>0</v>
      </c>
      <c r="I675" s="117"/>
    </row>
    <row r="676" spans="1:9" s="1" customFormat="1" ht="19.5" customHeight="1">
      <c r="A676" s="40" t="s">
        <v>350</v>
      </c>
      <c r="B676" s="36" t="s">
        <v>123</v>
      </c>
      <c r="C676" s="37" t="s">
        <v>671</v>
      </c>
      <c r="D676" s="35" t="s">
        <v>349</v>
      </c>
      <c r="E676" s="42">
        <f>2596</f>
        <v>2596</v>
      </c>
      <c r="F676" s="42">
        <f>E676</f>
        <v>2596</v>
      </c>
      <c r="G676" s="42">
        <v>0</v>
      </c>
      <c r="H676" s="42">
        <f>G676</f>
        <v>0</v>
      </c>
      <c r="I676" s="117"/>
    </row>
    <row r="677" spans="1:9" s="1" customFormat="1" ht="60.75" customHeight="1">
      <c r="A677" s="65" t="s">
        <v>476</v>
      </c>
      <c r="B677" s="36" t="s">
        <v>123</v>
      </c>
      <c r="C677" s="8" t="s">
        <v>477</v>
      </c>
      <c r="D677" s="37"/>
      <c r="E677" s="51">
        <f aca="true" t="shared" si="27" ref="E677:H678">E678</f>
        <v>1680</v>
      </c>
      <c r="F677" s="51">
        <f t="shared" si="27"/>
        <v>1680</v>
      </c>
      <c r="G677" s="51">
        <f t="shared" si="27"/>
        <v>0</v>
      </c>
      <c r="H677" s="51">
        <f t="shared" si="27"/>
        <v>0</v>
      </c>
      <c r="I677" s="117"/>
    </row>
    <row r="678" spans="1:9" s="1" customFormat="1" ht="33" customHeight="1">
      <c r="A678" s="34" t="s">
        <v>352</v>
      </c>
      <c r="B678" s="36" t="s">
        <v>123</v>
      </c>
      <c r="C678" s="8" t="s">
        <v>477</v>
      </c>
      <c r="D678" s="37" t="s">
        <v>351</v>
      </c>
      <c r="E678" s="38">
        <f t="shared" si="27"/>
        <v>1680</v>
      </c>
      <c r="F678" s="38">
        <f t="shared" si="27"/>
        <v>1680</v>
      </c>
      <c r="G678" s="38">
        <f t="shared" si="27"/>
        <v>0</v>
      </c>
      <c r="H678" s="38">
        <f t="shared" si="27"/>
        <v>0</v>
      </c>
      <c r="I678" s="117"/>
    </row>
    <row r="679" spans="1:9" s="1" customFormat="1" ht="20.25" customHeight="1">
      <c r="A679" s="41" t="s">
        <v>350</v>
      </c>
      <c r="B679" s="36" t="s">
        <v>123</v>
      </c>
      <c r="C679" s="8" t="s">
        <v>477</v>
      </c>
      <c r="D679" s="37" t="s">
        <v>349</v>
      </c>
      <c r="E679" s="38">
        <f>1680</f>
        <v>1680</v>
      </c>
      <c r="F679" s="38">
        <f>E679</f>
        <v>1680</v>
      </c>
      <c r="G679" s="38">
        <v>0</v>
      </c>
      <c r="H679" s="38">
        <f>G679</f>
        <v>0</v>
      </c>
      <c r="I679" s="117"/>
    </row>
    <row r="680" spans="1:9" s="1" customFormat="1" ht="61.5" customHeight="1">
      <c r="A680" s="41" t="s">
        <v>292</v>
      </c>
      <c r="B680" s="36" t="s">
        <v>123</v>
      </c>
      <c r="C680" s="8" t="s">
        <v>467</v>
      </c>
      <c r="D680" s="37"/>
      <c r="E680" s="38">
        <f aca="true" t="shared" si="28" ref="E680:H681">E681</f>
        <v>1544</v>
      </c>
      <c r="F680" s="38">
        <f t="shared" si="28"/>
        <v>1544</v>
      </c>
      <c r="G680" s="38">
        <f t="shared" si="28"/>
        <v>296.5</v>
      </c>
      <c r="H680" s="38">
        <f t="shared" si="28"/>
        <v>296.5</v>
      </c>
      <c r="I680" s="117"/>
    </row>
    <row r="681" spans="1:9" s="1" customFormat="1" ht="32.25" customHeight="1">
      <c r="A681" s="34" t="s">
        <v>352</v>
      </c>
      <c r="B681" s="36" t="s">
        <v>123</v>
      </c>
      <c r="C681" s="8" t="s">
        <v>467</v>
      </c>
      <c r="D681" s="37" t="s">
        <v>351</v>
      </c>
      <c r="E681" s="38">
        <f t="shared" si="28"/>
        <v>1544</v>
      </c>
      <c r="F681" s="38">
        <f t="shared" si="28"/>
        <v>1544</v>
      </c>
      <c r="G681" s="38">
        <f t="shared" si="28"/>
        <v>296.5</v>
      </c>
      <c r="H681" s="38">
        <f t="shared" si="28"/>
        <v>296.5</v>
      </c>
      <c r="I681" s="117"/>
    </row>
    <row r="682" spans="1:9" s="1" customFormat="1" ht="21" customHeight="1">
      <c r="A682" s="41" t="s">
        <v>350</v>
      </c>
      <c r="B682" s="36" t="s">
        <v>123</v>
      </c>
      <c r="C682" s="8" t="s">
        <v>467</v>
      </c>
      <c r="D682" s="37" t="s">
        <v>349</v>
      </c>
      <c r="E682" s="38">
        <v>1544</v>
      </c>
      <c r="F682" s="38">
        <f>E682</f>
        <v>1544</v>
      </c>
      <c r="G682" s="38">
        <v>296.5</v>
      </c>
      <c r="H682" s="38">
        <f>G682</f>
        <v>296.5</v>
      </c>
      <c r="I682" s="117"/>
    </row>
    <row r="683" spans="1:9" s="1" customFormat="1" ht="75.75" customHeight="1">
      <c r="A683" s="41" t="s">
        <v>658</v>
      </c>
      <c r="B683" s="36" t="s">
        <v>123</v>
      </c>
      <c r="C683" s="8" t="s">
        <v>657</v>
      </c>
      <c r="D683" s="37"/>
      <c r="E683" s="38">
        <f aca="true" t="shared" si="29" ref="E683:H684">E684</f>
        <v>1000</v>
      </c>
      <c r="F683" s="38">
        <f t="shared" si="29"/>
        <v>1000</v>
      </c>
      <c r="G683" s="38">
        <f t="shared" si="29"/>
        <v>0</v>
      </c>
      <c r="H683" s="38">
        <f t="shared" si="29"/>
        <v>0</v>
      </c>
      <c r="I683" s="117"/>
    </row>
    <row r="684" spans="1:9" s="1" customFormat="1" ht="27.75" customHeight="1">
      <c r="A684" s="34" t="s">
        <v>352</v>
      </c>
      <c r="B684" s="36" t="s">
        <v>123</v>
      </c>
      <c r="C684" s="8" t="s">
        <v>657</v>
      </c>
      <c r="D684" s="37" t="s">
        <v>351</v>
      </c>
      <c r="E684" s="38">
        <f t="shared" si="29"/>
        <v>1000</v>
      </c>
      <c r="F684" s="38">
        <f t="shared" si="29"/>
        <v>1000</v>
      </c>
      <c r="G684" s="38">
        <f t="shared" si="29"/>
        <v>0</v>
      </c>
      <c r="H684" s="38">
        <f t="shared" si="29"/>
        <v>0</v>
      </c>
      <c r="I684" s="117"/>
    </row>
    <row r="685" spans="1:9" s="1" customFormat="1" ht="21" customHeight="1">
      <c r="A685" s="41" t="s">
        <v>350</v>
      </c>
      <c r="B685" s="36" t="s">
        <v>123</v>
      </c>
      <c r="C685" s="8" t="s">
        <v>657</v>
      </c>
      <c r="D685" s="37" t="s">
        <v>349</v>
      </c>
      <c r="E685" s="38">
        <f>1000</f>
        <v>1000</v>
      </c>
      <c r="F685" s="38">
        <f>E685</f>
        <v>1000</v>
      </c>
      <c r="G685" s="38">
        <v>0</v>
      </c>
      <c r="H685" s="38">
        <f>G685</f>
        <v>0</v>
      </c>
      <c r="I685" s="117"/>
    </row>
    <row r="686" spans="1:9" s="1" customFormat="1" ht="48.75" customHeight="1">
      <c r="A686" s="40" t="s">
        <v>507</v>
      </c>
      <c r="B686" s="36" t="s">
        <v>123</v>
      </c>
      <c r="C686" s="37" t="s">
        <v>468</v>
      </c>
      <c r="D686" s="35"/>
      <c r="E686" s="38">
        <f aca="true" t="shared" si="30" ref="E686:H687">E687</f>
        <v>469996.1</v>
      </c>
      <c r="F686" s="38">
        <f t="shared" si="30"/>
        <v>469996.1</v>
      </c>
      <c r="G686" s="38">
        <f t="shared" si="30"/>
        <v>1167.7</v>
      </c>
      <c r="H686" s="38">
        <f t="shared" si="30"/>
        <v>1167.7</v>
      </c>
      <c r="I686" s="117"/>
    </row>
    <row r="687" spans="1:9" s="1" customFormat="1" ht="33" customHeight="1">
      <c r="A687" s="44" t="s">
        <v>339</v>
      </c>
      <c r="B687" s="36" t="s">
        <v>123</v>
      </c>
      <c r="C687" s="37" t="s">
        <v>468</v>
      </c>
      <c r="D687" s="35" t="s">
        <v>409</v>
      </c>
      <c r="E687" s="42">
        <f t="shared" si="30"/>
        <v>469996.1</v>
      </c>
      <c r="F687" s="42">
        <f t="shared" si="30"/>
        <v>469996.1</v>
      </c>
      <c r="G687" s="42">
        <f t="shared" si="30"/>
        <v>1167.7</v>
      </c>
      <c r="H687" s="42">
        <f t="shared" si="30"/>
        <v>1167.7</v>
      </c>
      <c r="I687" s="117"/>
    </row>
    <row r="688" spans="1:9" s="1" customFormat="1" ht="107.25" customHeight="1">
      <c r="A688" s="40" t="s">
        <v>8</v>
      </c>
      <c r="B688" s="36" t="s">
        <v>123</v>
      </c>
      <c r="C688" s="37" t="s">
        <v>468</v>
      </c>
      <c r="D688" s="35" t="s">
        <v>7</v>
      </c>
      <c r="E688" s="42">
        <f>19320.5+345100+2083+103492.6</f>
        <v>469996.1</v>
      </c>
      <c r="F688" s="42">
        <f>E688</f>
        <v>469996.1</v>
      </c>
      <c r="G688" s="42">
        <v>1167.7</v>
      </c>
      <c r="H688" s="42">
        <f>G688</f>
        <v>1167.7</v>
      </c>
      <c r="I688" s="117"/>
    </row>
    <row r="689" spans="1:9" s="1" customFormat="1" ht="46.5" customHeight="1">
      <c r="A689" s="40" t="s">
        <v>547</v>
      </c>
      <c r="B689" s="36" t="s">
        <v>123</v>
      </c>
      <c r="C689" s="37" t="s">
        <v>548</v>
      </c>
      <c r="D689" s="35"/>
      <c r="E689" s="38">
        <f aca="true" t="shared" si="31" ref="E689:H690">E690</f>
        <v>9109</v>
      </c>
      <c r="F689" s="38">
        <f t="shared" si="31"/>
        <v>9109</v>
      </c>
      <c r="G689" s="38">
        <f t="shared" si="31"/>
        <v>0</v>
      </c>
      <c r="H689" s="38">
        <f t="shared" si="31"/>
        <v>0</v>
      </c>
      <c r="I689" s="117"/>
    </row>
    <row r="690" spans="1:9" s="1" customFormat="1" ht="22.5" customHeight="1">
      <c r="A690" s="44" t="s">
        <v>175</v>
      </c>
      <c r="B690" s="36" t="s">
        <v>123</v>
      </c>
      <c r="C690" s="37" t="s">
        <v>548</v>
      </c>
      <c r="D690" s="35" t="s">
        <v>174</v>
      </c>
      <c r="E690" s="38">
        <f t="shared" si="31"/>
        <v>9109</v>
      </c>
      <c r="F690" s="38">
        <f t="shared" si="31"/>
        <v>9109</v>
      </c>
      <c r="G690" s="38">
        <f t="shared" si="31"/>
        <v>0</v>
      </c>
      <c r="H690" s="38">
        <f t="shared" si="31"/>
        <v>0</v>
      </c>
      <c r="I690" s="117"/>
    </row>
    <row r="691" spans="1:9" s="1" customFormat="1" ht="33.75" customHeight="1">
      <c r="A691" s="44" t="s">
        <v>177</v>
      </c>
      <c r="B691" s="36" t="s">
        <v>123</v>
      </c>
      <c r="C691" s="37" t="s">
        <v>548</v>
      </c>
      <c r="D691" s="35" t="s">
        <v>176</v>
      </c>
      <c r="E691" s="38">
        <v>9109</v>
      </c>
      <c r="F691" s="38">
        <v>9109</v>
      </c>
      <c r="G691" s="38">
        <v>0</v>
      </c>
      <c r="H691" s="38">
        <v>0</v>
      </c>
      <c r="I691" s="117"/>
    </row>
    <row r="692" spans="1:9" s="2" customFormat="1" ht="24.75" customHeight="1">
      <c r="A692" s="34" t="s">
        <v>295</v>
      </c>
      <c r="B692" s="68" t="s">
        <v>123</v>
      </c>
      <c r="C692" s="46" t="s">
        <v>34</v>
      </c>
      <c r="D692" s="67"/>
      <c r="E692" s="48">
        <f>E693</f>
        <v>566477.6000000001</v>
      </c>
      <c r="F692" s="48">
        <f>F693</f>
        <v>0</v>
      </c>
      <c r="G692" s="48">
        <f>G693</f>
        <v>223864.89999999997</v>
      </c>
      <c r="H692" s="48">
        <f>H693</f>
        <v>0</v>
      </c>
      <c r="I692" s="118"/>
    </row>
    <row r="693" spans="1:9" s="1" customFormat="1" ht="19.5" customHeight="1">
      <c r="A693" s="73" t="s">
        <v>103</v>
      </c>
      <c r="B693" s="36" t="s">
        <v>123</v>
      </c>
      <c r="C693" s="8" t="s">
        <v>34</v>
      </c>
      <c r="D693" s="46"/>
      <c r="E693" s="38">
        <f>E709+E712+E716+E719+E697+E703+E706+E694+E725+E728+E722+E700</f>
        <v>566477.6000000001</v>
      </c>
      <c r="F693" s="38">
        <f>F709+F712+F716+F719+F697+F703+F706+F694+F725+F728</f>
        <v>0</v>
      </c>
      <c r="G693" s="38">
        <f>G709+G712+G716+G719+G697+G703+G706+G694+G725+G728+G722+G700</f>
        <v>223864.89999999997</v>
      </c>
      <c r="H693" s="38">
        <f>H709+H712+H716+H719+H697+H703+H706+H694+H725+H728</f>
        <v>0</v>
      </c>
      <c r="I693" s="117"/>
    </row>
    <row r="694" spans="1:9" s="1" customFormat="1" ht="59.25" customHeight="1">
      <c r="A694" s="44" t="s">
        <v>474</v>
      </c>
      <c r="B694" s="36" t="s">
        <v>123</v>
      </c>
      <c r="C694" s="37" t="s">
        <v>231</v>
      </c>
      <c r="D694" s="46"/>
      <c r="E694" s="38">
        <f>E695</f>
        <v>420.00000000000006</v>
      </c>
      <c r="F694" s="55"/>
      <c r="G694" s="38">
        <f>G695</f>
        <v>0</v>
      </c>
      <c r="H694" s="55"/>
      <c r="I694" s="117"/>
    </row>
    <row r="695" spans="1:9" s="1" customFormat="1" ht="32.25" customHeight="1">
      <c r="A695" s="58" t="s">
        <v>352</v>
      </c>
      <c r="B695" s="36" t="s">
        <v>123</v>
      </c>
      <c r="C695" s="37" t="s">
        <v>231</v>
      </c>
      <c r="D695" s="46" t="s">
        <v>351</v>
      </c>
      <c r="E695" s="38">
        <f>E696</f>
        <v>420.00000000000006</v>
      </c>
      <c r="F695" s="55"/>
      <c r="G695" s="38">
        <f>G696</f>
        <v>0</v>
      </c>
      <c r="H695" s="55"/>
      <c r="I695" s="117"/>
    </row>
    <row r="696" spans="1:9" s="1" customFormat="1" ht="24" customHeight="1">
      <c r="A696" s="41" t="s">
        <v>350</v>
      </c>
      <c r="B696" s="36" t="s">
        <v>123</v>
      </c>
      <c r="C696" s="37" t="s">
        <v>231</v>
      </c>
      <c r="D696" s="46" t="s">
        <v>349</v>
      </c>
      <c r="E696" s="38">
        <f>560.7-140.7</f>
        <v>420.00000000000006</v>
      </c>
      <c r="F696" s="55"/>
      <c r="G696" s="38">
        <v>0</v>
      </c>
      <c r="H696" s="55"/>
      <c r="I696" s="117"/>
    </row>
    <row r="697" spans="1:9" s="1" customFormat="1" ht="60.75" customHeight="1">
      <c r="A697" s="41" t="s">
        <v>342</v>
      </c>
      <c r="B697" s="36" t="s">
        <v>123</v>
      </c>
      <c r="C697" s="37" t="s">
        <v>232</v>
      </c>
      <c r="D697" s="8"/>
      <c r="E697" s="38">
        <f>E698</f>
        <v>1544</v>
      </c>
      <c r="F697" s="55"/>
      <c r="G697" s="38">
        <f>G698</f>
        <v>1544</v>
      </c>
      <c r="H697" s="55"/>
      <c r="I697" s="117"/>
    </row>
    <row r="698" spans="1:9" s="1" customFormat="1" ht="30.75" customHeight="1">
      <c r="A698" s="58" t="s">
        <v>352</v>
      </c>
      <c r="B698" s="36" t="s">
        <v>123</v>
      </c>
      <c r="C698" s="37" t="s">
        <v>232</v>
      </c>
      <c r="D698" s="35" t="s">
        <v>351</v>
      </c>
      <c r="E698" s="38">
        <f>E699</f>
        <v>1544</v>
      </c>
      <c r="F698" s="38"/>
      <c r="G698" s="38">
        <f>G699</f>
        <v>1544</v>
      </c>
      <c r="H698" s="38"/>
      <c r="I698" s="117"/>
    </row>
    <row r="699" spans="1:9" s="1" customFormat="1" ht="25.5" customHeight="1">
      <c r="A699" s="41" t="s">
        <v>350</v>
      </c>
      <c r="B699" s="36" t="s">
        <v>123</v>
      </c>
      <c r="C699" s="37" t="s">
        <v>232</v>
      </c>
      <c r="D699" s="35" t="s">
        <v>349</v>
      </c>
      <c r="E699" s="38">
        <f>7306-5762</f>
        <v>1544</v>
      </c>
      <c r="F699" s="55"/>
      <c r="G699" s="38">
        <v>1544</v>
      </c>
      <c r="H699" s="55"/>
      <c r="I699" s="117"/>
    </row>
    <row r="700" spans="1:9" s="1" customFormat="1" ht="60.75" customHeight="1">
      <c r="A700" s="41" t="s">
        <v>622</v>
      </c>
      <c r="B700" s="36" t="s">
        <v>123</v>
      </c>
      <c r="C700" s="37" t="s">
        <v>623</v>
      </c>
      <c r="D700" s="8"/>
      <c r="E700" s="38">
        <f>E701</f>
        <v>5762</v>
      </c>
      <c r="F700" s="55"/>
      <c r="G700" s="38">
        <f>G701</f>
        <v>2934.4</v>
      </c>
      <c r="H700" s="55"/>
      <c r="I700" s="117"/>
    </row>
    <row r="701" spans="1:9" s="1" customFormat="1" ht="30.75" customHeight="1">
      <c r="A701" s="58" t="s">
        <v>352</v>
      </c>
      <c r="B701" s="36" t="s">
        <v>123</v>
      </c>
      <c r="C701" s="37" t="s">
        <v>623</v>
      </c>
      <c r="D701" s="35" t="s">
        <v>351</v>
      </c>
      <c r="E701" s="38">
        <f>E702</f>
        <v>5762</v>
      </c>
      <c r="F701" s="38"/>
      <c r="G701" s="38">
        <f>G702</f>
        <v>2934.4</v>
      </c>
      <c r="H701" s="38"/>
      <c r="I701" s="117"/>
    </row>
    <row r="702" spans="1:9" s="1" customFormat="1" ht="25.5" customHeight="1">
      <c r="A702" s="41" t="s">
        <v>350</v>
      </c>
      <c r="B702" s="36" t="s">
        <v>123</v>
      </c>
      <c r="C702" s="37" t="s">
        <v>623</v>
      </c>
      <c r="D702" s="35" t="s">
        <v>349</v>
      </c>
      <c r="E702" s="38">
        <v>5762</v>
      </c>
      <c r="F702" s="55"/>
      <c r="G702" s="38">
        <v>2934.4</v>
      </c>
      <c r="H702" s="55"/>
      <c r="I702" s="117"/>
    </row>
    <row r="703" spans="1:9" s="1" customFormat="1" ht="79.5" customHeight="1">
      <c r="A703" s="58" t="s">
        <v>672</v>
      </c>
      <c r="B703" s="36" t="s">
        <v>123</v>
      </c>
      <c r="C703" s="37" t="s">
        <v>233</v>
      </c>
      <c r="D703" s="35"/>
      <c r="E703" s="38">
        <f>E704</f>
        <v>7825.3</v>
      </c>
      <c r="F703" s="38"/>
      <c r="G703" s="38">
        <f>G704</f>
        <v>4000.1</v>
      </c>
      <c r="H703" s="38"/>
      <c r="I703" s="117"/>
    </row>
    <row r="704" spans="1:9" s="1" customFormat="1" ht="29.25" customHeight="1">
      <c r="A704" s="58" t="s">
        <v>352</v>
      </c>
      <c r="B704" s="36" t="s">
        <v>123</v>
      </c>
      <c r="C704" s="37" t="s">
        <v>233</v>
      </c>
      <c r="D704" s="35" t="s">
        <v>351</v>
      </c>
      <c r="E704" s="38">
        <f>E705</f>
        <v>7825.3</v>
      </c>
      <c r="F704" s="38"/>
      <c r="G704" s="38">
        <f>G705</f>
        <v>4000.1</v>
      </c>
      <c r="H704" s="38"/>
      <c r="I704" s="117"/>
    </row>
    <row r="705" spans="1:9" s="1" customFormat="1" ht="20.25" customHeight="1">
      <c r="A705" s="40" t="s">
        <v>350</v>
      </c>
      <c r="B705" s="36" t="s">
        <v>123</v>
      </c>
      <c r="C705" s="37" t="s">
        <v>233</v>
      </c>
      <c r="D705" s="35" t="s">
        <v>349</v>
      </c>
      <c r="E705" s="38">
        <f>7684.6+140.7</f>
        <v>7825.3</v>
      </c>
      <c r="F705" s="38"/>
      <c r="G705" s="38">
        <v>4000.1</v>
      </c>
      <c r="H705" s="38"/>
      <c r="I705" s="117"/>
    </row>
    <row r="706" spans="1:9" s="1" customFormat="1" ht="33.75" customHeight="1">
      <c r="A706" s="34" t="s">
        <v>417</v>
      </c>
      <c r="B706" s="36" t="s">
        <v>123</v>
      </c>
      <c r="C706" s="8" t="s">
        <v>367</v>
      </c>
      <c r="D706" s="35"/>
      <c r="E706" s="38">
        <f>E707</f>
        <v>5238.9</v>
      </c>
      <c r="F706" s="55"/>
      <c r="G706" s="38">
        <f>G707</f>
        <v>3500</v>
      </c>
      <c r="H706" s="55"/>
      <c r="I706" s="117"/>
    </row>
    <row r="707" spans="1:9" s="1" customFormat="1" ht="33" customHeight="1">
      <c r="A707" s="58" t="s">
        <v>352</v>
      </c>
      <c r="B707" s="36" t="s">
        <v>123</v>
      </c>
      <c r="C707" s="37" t="s">
        <v>367</v>
      </c>
      <c r="D707" s="35" t="s">
        <v>351</v>
      </c>
      <c r="E707" s="38">
        <f>E708</f>
        <v>5238.9</v>
      </c>
      <c r="F707" s="38"/>
      <c r="G707" s="38">
        <f>G708</f>
        <v>3500</v>
      </c>
      <c r="H707" s="38"/>
      <c r="I707" s="117"/>
    </row>
    <row r="708" spans="1:9" s="1" customFormat="1" ht="27.75" customHeight="1">
      <c r="A708" s="41" t="s">
        <v>350</v>
      </c>
      <c r="B708" s="36" t="s">
        <v>123</v>
      </c>
      <c r="C708" s="8" t="s">
        <v>367</v>
      </c>
      <c r="D708" s="35" t="s">
        <v>349</v>
      </c>
      <c r="E708" s="38">
        <f>346.9+4892</f>
        <v>5238.9</v>
      </c>
      <c r="F708" s="55"/>
      <c r="G708" s="38">
        <v>3500</v>
      </c>
      <c r="H708" s="55"/>
      <c r="I708" s="117"/>
    </row>
    <row r="709" spans="1:9" s="1" customFormat="1" ht="32.25" customHeight="1">
      <c r="A709" s="40" t="s">
        <v>418</v>
      </c>
      <c r="B709" s="36" t="s">
        <v>123</v>
      </c>
      <c r="C709" s="37" t="s">
        <v>368</v>
      </c>
      <c r="D709" s="35"/>
      <c r="E709" s="38">
        <f>E710</f>
        <v>286684</v>
      </c>
      <c r="F709" s="38"/>
      <c r="G709" s="38">
        <f>G710</f>
        <v>145386.9</v>
      </c>
      <c r="H709" s="38"/>
      <c r="I709" s="117"/>
    </row>
    <row r="710" spans="1:9" s="1" customFormat="1" ht="32.25" customHeight="1">
      <c r="A710" s="34" t="s">
        <v>352</v>
      </c>
      <c r="B710" s="36" t="s">
        <v>123</v>
      </c>
      <c r="C710" s="37" t="s">
        <v>368</v>
      </c>
      <c r="D710" s="35" t="s">
        <v>351</v>
      </c>
      <c r="E710" s="38">
        <f>E711</f>
        <v>286684</v>
      </c>
      <c r="F710" s="55"/>
      <c r="G710" s="38">
        <f>G711</f>
        <v>145386.9</v>
      </c>
      <c r="H710" s="55"/>
      <c r="I710" s="117"/>
    </row>
    <row r="711" spans="1:9" s="1" customFormat="1" ht="27" customHeight="1">
      <c r="A711" s="40" t="s">
        <v>350</v>
      </c>
      <c r="B711" s="36" t="s">
        <v>123</v>
      </c>
      <c r="C711" s="37" t="s">
        <v>368</v>
      </c>
      <c r="D711" s="35" t="s">
        <v>349</v>
      </c>
      <c r="E711" s="38">
        <v>286684</v>
      </c>
      <c r="F711" s="38"/>
      <c r="G711" s="38">
        <v>145386.9</v>
      </c>
      <c r="H711" s="38"/>
      <c r="I711" s="117"/>
    </row>
    <row r="712" spans="1:9" s="1" customFormat="1" ht="25.5" customHeight="1">
      <c r="A712" s="41" t="s">
        <v>415</v>
      </c>
      <c r="B712" s="36" t="s">
        <v>123</v>
      </c>
      <c r="C712" s="8" t="s">
        <v>369</v>
      </c>
      <c r="D712" s="67"/>
      <c r="E712" s="38">
        <f>E713</f>
        <v>4809.400000000001</v>
      </c>
      <c r="F712" s="55"/>
      <c r="G712" s="38">
        <f>G713</f>
        <v>1225.3</v>
      </c>
      <c r="H712" s="55"/>
      <c r="I712" s="117"/>
    </row>
    <row r="713" spans="1:9" s="1" customFormat="1" ht="32.25" customHeight="1">
      <c r="A713" s="34" t="s">
        <v>352</v>
      </c>
      <c r="B713" s="36" t="s">
        <v>123</v>
      </c>
      <c r="C713" s="8" t="s">
        <v>369</v>
      </c>
      <c r="D713" s="35" t="s">
        <v>351</v>
      </c>
      <c r="E713" s="38">
        <f>E714+E715</f>
        <v>4809.400000000001</v>
      </c>
      <c r="F713" s="55"/>
      <c r="G713" s="38">
        <f>G714+G715</f>
        <v>1225.3</v>
      </c>
      <c r="H713" s="55"/>
      <c r="I713" s="117"/>
    </row>
    <row r="714" spans="1:9" s="1" customFormat="1" ht="24.75" customHeight="1">
      <c r="A714" s="41" t="s">
        <v>350</v>
      </c>
      <c r="B714" s="36" t="s">
        <v>123</v>
      </c>
      <c r="C714" s="8" t="s">
        <v>369</v>
      </c>
      <c r="D714" s="35" t="s">
        <v>349</v>
      </c>
      <c r="E714" s="38">
        <v>4753.3</v>
      </c>
      <c r="F714" s="55"/>
      <c r="G714" s="38">
        <v>1222.3</v>
      </c>
      <c r="H714" s="55"/>
      <c r="I714" s="117"/>
    </row>
    <row r="715" spans="1:9" s="1" customFormat="1" ht="32.25" customHeight="1">
      <c r="A715" s="71" t="s">
        <v>50</v>
      </c>
      <c r="B715" s="36" t="s">
        <v>123</v>
      </c>
      <c r="C715" s="8" t="s">
        <v>369</v>
      </c>
      <c r="D715" s="35" t="s">
        <v>86</v>
      </c>
      <c r="E715" s="38">
        <v>56.1</v>
      </c>
      <c r="F715" s="55"/>
      <c r="G715" s="38">
        <v>3</v>
      </c>
      <c r="H715" s="55"/>
      <c r="I715" s="117"/>
    </row>
    <row r="716" spans="1:9" s="1" customFormat="1" ht="24" customHeight="1">
      <c r="A716" s="40" t="s">
        <v>411</v>
      </c>
      <c r="B716" s="36" t="s">
        <v>123</v>
      </c>
      <c r="C716" s="37" t="s">
        <v>370</v>
      </c>
      <c r="D716" s="35"/>
      <c r="E716" s="38">
        <f>E717</f>
        <v>64036.3</v>
      </c>
      <c r="F716" s="38"/>
      <c r="G716" s="38">
        <f>G717</f>
        <v>17345.8</v>
      </c>
      <c r="H716" s="38"/>
      <c r="I716" s="117"/>
    </row>
    <row r="717" spans="1:9" s="1" customFormat="1" ht="32.25" customHeight="1">
      <c r="A717" s="34" t="s">
        <v>352</v>
      </c>
      <c r="B717" s="36" t="s">
        <v>123</v>
      </c>
      <c r="C717" s="8" t="s">
        <v>370</v>
      </c>
      <c r="D717" s="35" t="s">
        <v>351</v>
      </c>
      <c r="E717" s="38">
        <f>E718</f>
        <v>64036.3</v>
      </c>
      <c r="F717" s="55"/>
      <c r="G717" s="38">
        <f>G718</f>
        <v>17345.8</v>
      </c>
      <c r="H717" s="55"/>
      <c r="I717" s="117"/>
    </row>
    <row r="718" spans="1:9" s="1" customFormat="1" ht="22.5" customHeight="1">
      <c r="A718" s="41" t="s">
        <v>350</v>
      </c>
      <c r="B718" s="36" t="s">
        <v>123</v>
      </c>
      <c r="C718" s="8" t="s">
        <v>370</v>
      </c>
      <c r="D718" s="35" t="s">
        <v>349</v>
      </c>
      <c r="E718" s="38">
        <f>46600-226+1860+3103.4+1700+10998.9</f>
        <v>64036.3</v>
      </c>
      <c r="F718" s="55"/>
      <c r="G718" s="38">
        <v>17345.8</v>
      </c>
      <c r="H718" s="55"/>
      <c r="I718" s="117"/>
    </row>
    <row r="719" spans="1:9" s="1" customFormat="1" ht="32.25" customHeight="1">
      <c r="A719" s="44" t="s">
        <v>422</v>
      </c>
      <c r="B719" s="36" t="s">
        <v>123</v>
      </c>
      <c r="C719" s="37" t="s">
        <v>234</v>
      </c>
      <c r="D719" s="35"/>
      <c r="E719" s="38">
        <f>E720</f>
        <v>100</v>
      </c>
      <c r="F719" s="55"/>
      <c r="G719" s="38">
        <f>G720</f>
        <v>0</v>
      </c>
      <c r="H719" s="55"/>
      <c r="I719" s="117"/>
    </row>
    <row r="720" spans="1:9" s="1" customFormat="1" ht="32.25" customHeight="1">
      <c r="A720" s="34" t="s">
        <v>352</v>
      </c>
      <c r="B720" s="36" t="s">
        <v>123</v>
      </c>
      <c r="C720" s="37" t="s">
        <v>234</v>
      </c>
      <c r="D720" s="35" t="s">
        <v>351</v>
      </c>
      <c r="E720" s="38">
        <f>E721</f>
        <v>100</v>
      </c>
      <c r="F720" s="55"/>
      <c r="G720" s="38">
        <f>G721</f>
        <v>0</v>
      </c>
      <c r="H720" s="55"/>
      <c r="I720" s="117"/>
    </row>
    <row r="721" spans="1:9" s="1" customFormat="1" ht="24.75" customHeight="1">
      <c r="A721" s="40" t="s">
        <v>350</v>
      </c>
      <c r="B721" s="36" t="s">
        <v>123</v>
      </c>
      <c r="C721" s="37" t="s">
        <v>234</v>
      </c>
      <c r="D721" s="35" t="s">
        <v>349</v>
      </c>
      <c r="E721" s="38">
        <f>400-300</f>
        <v>100</v>
      </c>
      <c r="F721" s="38"/>
      <c r="G721" s="38">
        <v>0</v>
      </c>
      <c r="H721" s="38"/>
      <c r="I721" s="117"/>
    </row>
    <row r="722" spans="1:9" s="1" customFormat="1" ht="46.5" customHeight="1">
      <c r="A722" s="40" t="s">
        <v>454</v>
      </c>
      <c r="B722" s="36" t="s">
        <v>123</v>
      </c>
      <c r="C722" s="37" t="s">
        <v>455</v>
      </c>
      <c r="D722" s="35"/>
      <c r="E722" s="38">
        <f>E723</f>
        <v>5258</v>
      </c>
      <c r="F722" s="38"/>
      <c r="G722" s="38">
        <f>G723</f>
        <v>0</v>
      </c>
      <c r="H722" s="38"/>
      <c r="I722" s="117"/>
    </row>
    <row r="723" spans="1:9" s="1" customFormat="1" ht="24" customHeight="1">
      <c r="A723" s="44" t="s">
        <v>175</v>
      </c>
      <c r="B723" s="36" t="s">
        <v>123</v>
      </c>
      <c r="C723" s="37" t="s">
        <v>455</v>
      </c>
      <c r="D723" s="35" t="s">
        <v>174</v>
      </c>
      <c r="E723" s="38">
        <f>E724</f>
        <v>5258</v>
      </c>
      <c r="F723" s="38"/>
      <c r="G723" s="38">
        <f>G724</f>
        <v>0</v>
      </c>
      <c r="H723" s="38"/>
      <c r="I723" s="117"/>
    </row>
    <row r="724" spans="1:9" s="1" customFormat="1" ht="32.25" customHeight="1">
      <c r="A724" s="44" t="s">
        <v>177</v>
      </c>
      <c r="B724" s="36" t="s">
        <v>123</v>
      </c>
      <c r="C724" s="37" t="s">
        <v>455</v>
      </c>
      <c r="D724" s="35" t="s">
        <v>176</v>
      </c>
      <c r="E724" s="38">
        <f>5258</f>
        <v>5258</v>
      </c>
      <c r="F724" s="38"/>
      <c r="G724" s="38">
        <v>0</v>
      </c>
      <c r="H724" s="38"/>
      <c r="I724" s="117"/>
    </row>
    <row r="725" spans="1:9" s="1" customFormat="1" ht="45.75" customHeight="1">
      <c r="A725" s="40" t="s">
        <v>338</v>
      </c>
      <c r="B725" s="36" t="s">
        <v>123</v>
      </c>
      <c r="C725" s="37" t="s">
        <v>337</v>
      </c>
      <c r="D725" s="35"/>
      <c r="E725" s="42">
        <f aca="true" t="shared" si="32" ref="E725:H726">E726</f>
        <v>178138.80000000002</v>
      </c>
      <c r="F725" s="42">
        <f t="shared" si="32"/>
        <v>0</v>
      </c>
      <c r="G725" s="42">
        <f t="shared" si="32"/>
        <v>47928.4</v>
      </c>
      <c r="H725" s="42">
        <f t="shared" si="32"/>
        <v>0</v>
      </c>
      <c r="I725" s="117"/>
    </row>
    <row r="726" spans="1:9" s="1" customFormat="1" ht="32.25" customHeight="1">
      <c r="A726" s="44" t="s">
        <v>339</v>
      </c>
      <c r="B726" s="36" t="s">
        <v>123</v>
      </c>
      <c r="C726" s="37" t="s">
        <v>337</v>
      </c>
      <c r="D726" s="35" t="s">
        <v>409</v>
      </c>
      <c r="E726" s="42">
        <f t="shared" si="32"/>
        <v>178138.80000000002</v>
      </c>
      <c r="F726" s="42">
        <f t="shared" si="32"/>
        <v>0</v>
      </c>
      <c r="G726" s="42">
        <f t="shared" si="32"/>
        <v>47928.4</v>
      </c>
      <c r="H726" s="42">
        <f t="shared" si="32"/>
        <v>0</v>
      </c>
      <c r="I726" s="117"/>
    </row>
    <row r="727" spans="1:9" s="1" customFormat="1" ht="107.25" customHeight="1">
      <c r="A727" s="40" t="s">
        <v>8</v>
      </c>
      <c r="B727" s="36" t="s">
        <v>123</v>
      </c>
      <c r="C727" s="37" t="s">
        <v>337</v>
      </c>
      <c r="D727" s="35" t="s">
        <v>7</v>
      </c>
      <c r="E727" s="42">
        <f>1016.9+147900+29614.2+108.2+1.4-651.9+150</f>
        <v>178138.80000000002</v>
      </c>
      <c r="F727" s="42"/>
      <c r="G727" s="42">
        <v>47928.4</v>
      </c>
      <c r="H727" s="42"/>
      <c r="I727" s="117"/>
    </row>
    <row r="728" spans="1:9" s="1" customFormat="1" ht="48" customHeight="1">
      <c r="A728" s="40" t="s">
        <v>445</v>
      </c>
      <c r="B728" s="36" t="s">
        <v>123</v>
      </c>
      <c r="C728" s="37" t="s">
        <v>446</v>
      </c>
      <c r="D728" s="35"/>
      <c r="E728" s="42">
        <f>E729</f>
        <v>6660.9</v>
      </c>
      <c r="F728" s="42"/>
      <c r="G728" s="42">
        <f>G729</f>
        <v>0</v>
      </c>
      <c r="H728" s="42"/>
      <c r="I728" s="117"/>
    </row>
    <row r="729" spans="1:9" s="1" customFormat="1" ht="34.5" customHeight="1">
      <c r="A729" s="44" t="s">
        <v>339</v>
      </c>
      <c r="B729" s="36" t="s">
        <v>123</v>
      </c>
      <c r="C729" s="37" t="s">
        <v>446</v>
      </c>
      <c r="D729" s="35" t="s">
        <v>409</v>
      </c>
      <c r="E729" s="42">
        <f>E730</f>
        <v>6660.9</v>
      </c>
      <c r="F729" s="42"/>
      <c r="G729" s="42">
        <f>G730</f>
        <v>0</v>
      </c>
      <c r="H729" s="42"/>
      <c r="I729" s="117"/>
    </row>
    <row r="730" spans="1:9" s="1" customFormat="1" ht="108.75" customHeight="1">
      <c r="A730" s="40" t="s">
        <v>8</v>
      </c>
      <c r="B730" s="36" t="s">
        <v>123</v>
      </c>
      <c r="C730" s="37" t="s">
        <v>446</v>
      </c>
      <c r="D730" s="35" t="s">
        <v>7</v>
      </c>
      <c r="E730" s="42">
        <v>6660.9</v>
      </c>
      <c r="F730" s="42"/>
      <c r="G730" s="42">
        <v>0</v>
      </c>
      <c r="H730" s="42"/>
      <c r="I730" s="117"/>
    </row>
    <row r="731" spans="1:9" s="1" customFormat="1" ht="21" customHeight="1">
      <c r="A731" s="78" t="s">
        <v>253</v>
      </c>
      <c r="B731" s="36" t="s">
        <v>123</v>
      </c>
      <c r="C731" s="37" t="s">
        <v>381</v>
      </c>
      <c r="D731" s="35"/>
      <c r="E731" s="38">
        <f>E732+E738+E735</f>
        <v>3500</v>
      </c>
      <c r="F731" s="38">
        <f>F732+F738</f>
        <v>2500</v>
      </c>
      <c r="G731" s="38">
        <f>G732+G738+G735</f>
        <v>0</v>
      </c>
      <c r="H731" s="38">
        <f>H732+H738</f>
        <v>0</v>
      </c>
      <c r="I731" s="117"/>
    </row>
    <row r="732" spans="1:9" s="1" customFormat="1" ht="21" customHeight="1">
      <c r="A732" s="78" t="s">
        <v>475</v>
      </c>
      <c r="B732" s="36" t="s">
        <v>123</v>
      </c>
      <c r="C732" s="8" t="s">
        <v>382</v>
      </c>
      <c r="D732" s="36"/>
      <c r="E732" s="38">
        <f>E733</f>
        <v>750</v>
      </c>
      <c r="F732" s="38"/>
      <c r="G732" s="38">
        <f>G733</f>
        <v>0</v>
      </c>
      <c r="H732" s="38"/>
      <c r="I732" s="117"/>
    </row>
    <row r="733" spans="1:9" s="1" customFormat="1" ht="32.25" customHeight="1">
      <c r="A733" s="39" t="s">
        <v>352</v>
      </c>
      <c r="B733" s="36" t="s">
        <v>123</v>
      </c>
      <c r="C733" s="8" t="s">
        <v>382</v>
      </c>
      <c r="D733" s="36" t="s">
        <v>351</v>
      </c>
      <c r="E733" s="55">
        <f>E734</f>
        <v>750</v>
      </c>
      <c r="F733" s="42"/>
      <c r="G733" s="55">
        <f>G734</f>
        <v>0</v>
      </c>
      <c r="H733" s="42"/>
      <c r="I733" s="117"/>
    </row>
    <row r="734" spans="1:9" s="1" customFormat="1" ht="24" customHeight="1">
      <c r="A734" s="41" t="s">
        <v>350</v>
      </c>
      <c r="B734" s="36" t="s">
        <v>123</v>
      </c>
      <c r="C734" s="8" t="s">
        <v>382</v>
      </c>
      <c r="D734" s="36" t="s">
        <v>349</v>
      </c>
      <c r="E734" s="55">
        <f>1000-250</f>
        <v>750</v>
      </c>
      <c r="F734" s="42"/>
      <c r="G734" s="55">
        <v>0</v>
      </c>
      <c r="H734" s="42"/>
      <c r="I734" s="117"/>
    </row>
    <row r="735" spans="1:9" s="1" customFormat="1" ht="109.5" customHeight="1">
      <c r="A735" s="41" t="s">
        <v>648</v>
      </c>
      <c r="B735" s="36" t="s">
        <v>123</v>
      </c>
      <c r="C735" s="37" t="s">
        <v>646</v>
      </c>
      <c r="D735" s="36"/>
      <c r="E735" s="48">
        <f>E736</f>
        <v>250</v>
      </c>
      <c r="F735" s="42"/>
      <c r="G735" s="48">
        <f>G736</f>
        <v>0</v>
      </c>
      <c r="H735" s="42"/>
      <c r="I735" s="117"/>
    </row>
    <row r="736" spans="1:9" s="1" customFormat="1" ht="31.5" customHeight="1">
      <c r="A736" s="39" t="s">
        <v>352</v>
      </c>
      <c r="B736" s="36" t="s">
        <v>123</v>
      </c>
      <c r="C736" s="37" t="s">
        <v>646</v>
      </c>
      <c r="D736" s="36" t="s">
        <v>351</v>
      </c>
      <c r="E736" s="48">
        <f>E737</f>
        <v>250</v>
      </c>
      <c r="F736" s="42"/>
      <c r="G736" s="48">
        <f>G737</f>
        <v>0</v>
      </c>
      <c r="H736" s="42"/>
      <c r="I736" s="117"/>
    </row>
    <row r="737" spans="1:9" s="1" customFormat="1" ht="24" customHeight="1">
      <c r="A737" s="41" t="s">
        <v>350</v>
      </c>
      <c r="B737" s="36" t="s">
        <v>123</v>
      </c>
      <c r="C737" s="37" t="s">
        <v>646</v>
      </c>
      <c r="D737" s="36" t="s">
        <v>349</v>
      </c>
      <c r="E737" s="48">
        <v>250</v>
      </c>
      <c r="F737" s="42"/>
      <c r="G737" s="48">
        <v>0</v>
      </c>
      <c r="H737" s="42"/>
      <c r="I737" s="117"/>
    </row>
    <row r="738" spans="1:9" s="1" customFormat="1" ht="108" customHeight="1">
      <c r="A738" s="41" t="s">
        <v>647</v>
      </c>
      <c r="B738" s="36" t="s">
        <v>123</v>
      </c>
      <c r="C738" s="37" t="s">
        <v>645</v>
      </c>
      <c r="D738" s="36"/>
      <c r="E738" s="48">
        <f aca="true" t="shared" si="33" ref="E738:H739">E739</f>
        <v>2500</v>
      </c>
      <c r="F738" s="48">
        <f t="shared" si="33"/>
        <v>2500</v>
      </c>
      <c r="G738" s="48">
        <f t="shared" si="33"/>
        <v>0</v>
      </c>
      <c r="H738" s="48">
        <f t="shared" si="33"/>
        <v>0</v>
      </c>
      <c r="I738" s="117"/>
    </row>
    <row r="739" spans="1:9" s="1" customFormat="1" ht="32.25" customHeight="1">
      <c r="A739" s="39" t="s">
        <v>352</v>
      </c>
      <c r="B739" s="36" t="s">
        <v>123</v>
      </c>
      <c r="C739" s="37" t="s">
        <v>645</v>
      </c>
      <c r="D739" s="36" t="s">
        <v>351</v>
      </c>
      <c r="E739" s="48">
        <f t="shared" si="33"/>
        <v>2500</v>
      </c>
      <c r="F739" s="48">
        <f t="shared" si="33"/>
        <v>2500</v>
      </c>
      <c r="G739" s="48">
        <f t="shared" si="33"/>
        <v>0</v>
      </c>
      <c r="H739" s="48">
        <f t="shared" si="33"/>
        <v>0</v>
      </c>
      <c r="I739" s="117"/>
    </row>
    <row r="740" spans="1:9" s="1" customFormat="1" ht="24" customHeight="1">
      <c r="A740" s="41" t="s">
        <v>350</v>
      </c>
      <c r="B740" s="36" t="s">
        <v>123</v>
      </c>
      <c r="C740" s="37" t="s">
        <v>645</v>
      </c>
      <c r="D740" s="36" t="s">
        <v>349</v>
      </c>
      <c r="E740" s="48">
        <f>2500</f>
        <v>2500</v>
      </c>
      <c r="F740" s="48">
        <f>2500</f>
        <v>2500</v>
      </c>
      <c r="G740" s="48">
        <v>0</v>
      </c>
      <c r="H740" s="48"/>
      <c r="I740" s="117"/>
    </row>
    <row r="741" spans="1:9" s="1" customFormat="1" ht="31.5" customHeight="1">
      <c r="A741" s="50" t="s">
        <v>282</v>
      </c>
      <c r="B741" s="36" t="s">
        <v>123</v>
      </c>
      <c r="C741" s="45" t="s">
        <v>383</v>
      </c>
      <c r="D741" s="45"/>
      <c r="E741" s="48">
        <f>E742</f>
        <v>500</v>
      </c>
      <c r="F741" s="42"/>
      <c r="G741" s="48">
        <f>G742</f>
        <v>499.4</v>
      </c>
      <c r="H741" s="42"/>
      <c r="I741" s="117"/>
    </row>
    <row r="742" spans="1:9" s="1" customFormat="1" ht="47.25" customHeight="1">
      <c r="A742" s="66" t="s">
        <v>358</v>
      </c>
      <c r="B742" s="36" t="s">
        <v>123</v>
      </c>
      <c r="C742" s="45" t="s">
        <v>384</v>
      </c>
      <c r="D742" s="45"/>
      <c r="E742" s="48">
        <f>E743</f>
        <v>500</v>
      </c>
      <c r="F742" s="42"/>
      <c r="G742" s="48">
        <f>G743</f>
        <v>499.4</v>
      </c>
      <c r="H742" s="42"/>
      <c r="I742" s="117"/>
    </row>
    <row r="743" spans="1:9" s="1" customFormat="1" ht="30.75" customHeight="1">
      <c r="A743" s="50" t="s">
        <v>266</v>
      </c>
      <c r="B743" s="36" t="s">
        <v>123</v>
      </c>
      <c r="C743" s="45" t="s">
        <v>242</v>
      </c>
      <c r="D743" s="45"/>
      <c r="E743" s="48">
        <f>E744</f>
        <v>500</v>
      </c>
      <c r="F743" s="42"/>
      <c r="G743" s="48">
        <f>G744</f>
        <v>499.4</v>
      </c>
      <c r="H743" s="42"/>
      <c r="I743" s="117"/>
    </row>
    <row r="744" spans="1:9" s="1" customFormat="1" ht="29.25" customHeight="1">
      <c r="A744" s="39" t="s">
        <v>352</v>
      </c>
      <c r="B744" s="36" t="s">
        <v>123</v>
      </c>
      <c r="C744" s="45" t="s">
        <v>242</v>
      </c>
      <c r="D744" s="45" t="s">
        <v>351</v>
      </c>
      <c r="E744" s="48">
        <f>E745</f>
        <v>500</v>
      </c>
      <c r="F744" s="42"/>
      <c r="G744" s="48">
        <f>G745</f>
        <v>499.4</v>
      </c>
      <c r="H744" s="42"/>
      <c r="I744" s="117"/>
    </row>
    <row r="745" spans="1:9" s="1" customFormat="1" ht="24" customHeight="1">
      <c r="A745" s="41" t="s">
        <v>350</v>
      </c>
      <c r="B745" s="36" t="s">
        <v>123</v>
      </c>
      <c r="C745" s="45" t="s">
        <v>242</v>
      </c>
      <c r="D745" s="45" t="s">
        <v>349</v>
      </c>
      <c r="E745" s="48">
        <v>500</v>
      </c>
      <c r="F745" s="42"/>
      <c r="G745" s="48">
        <v>499.4</v>
      </c>
      <c r="H745" s="42"/>
      <c r="I745" s="117"/>
    </row>
    <row r="746" spans="1:9" s="1" customFormat="1" ht="24" customHeight="1">
      <c r="A746" s="57" t="s">
        <v>210</v>
      </c>
      <c r="B746" s="96" t="s">
        <v>209</v>
      </c>
      <c r="C746" s="8"/>
      <c r="D746" s="67"/>
      <c r="E746" s="120">
        <f>E747</f>
        <v>453231.5</v>
      </c>
      <c r="F746" s="120">
        <f>F747</f>
        <v>22935</v>
      </c>
      <c r="G746" s="120">
        <f>G747</f>
        <v>250474.7</v>
      </c>
      <c r="H746" s="120">
        <f>H747</f>
        <v>296.2</v>
      </c>
      <c r="I746" s="117"/>
    </row>
    <row r="747" spans="1:9" s="1" customFormat="1" ht="23.25" customHeight="1">
      <c r="A747" s="99" t="s">
        <v>104</v>
      </c>
      <c r="B747" s="36" t="s">
        <v>209</v>
      </c>
      <c r="C747" s="8"/>
      <c r="D747" s="72"/>
      <c r="E747" s="74">
        <f>E748+E762</f>
        <v>453231.5</v>
      </c>
      <c r="F747" s="74">
        <f>F748+F762</f>
        <v>22935</v>
      </c>
      <c r="G747" s="74">
        <f>G748+G762</f>
        <v>250474.7</v>
      </c>
      <c r="H747" s="74">
        <f>H748+H762</f>
        <v>296.2</v>
      </c>
      <c r="I747" s="117"/>
    </row>
    <row r="748" spans="1:9" s="1" customFormat="1" ht="45.75" customHeight="1">
      <c r="A748" s="50" t="s">
        <v>276</v>
      </c>
      <c r="B748" s="36" t="s">
        <v>209</v>
      </c>
      <c r="C748" s="8" t="s">
        <v>138</v>
      </c>
      <c r="D748" s="35"/>
      <c r="E748" s="75">
        <f>E749</f>
        <v>168180.1</v>
      </c>
      <c r="F748" s="75">
        <f>F749</f>
        <v>350</v>
      </c>
      <c r="G748" s="75">
        <f>G749</f>
        <v>88824.7</v>
      </c>
      <c r="H748" s="75">
        <f>H749</f>
        <v>296.2</v>
      </c>
      <c r="I748" s="117"/>
    </row>
    <row r="749" spans="1:9" s="1" customFormat="1" ht="33.75" customHeight="1">
      <c r="A749" s="58" t="s">
        <v>296</v>
      </c>
      <c r="B749" s="36" t="s">
        <v>209</v>
      </c>
      <c r="C749" s="37" t="s">
        <v>371</v>
      </c>
      <c r="D749" s="35"/>
      <c r="E749" s="74">
        <f>E753+E756+E759+E750</f>
        <v>168180.1</v>
      </c>
      <c r="F749" s="74">
        <f>F753+F756+F759+F750</f>
        <v>350</v>
      </c>
      <c r="G749" s="74">
        <f>G753+G756+G759+G750</f>
        <v>88824.7</v>
      </c>
      <c r="H749" s="74">
        <f>H753+H756+H759+H750</f>
        <v>296.2</v>
      </c>
      <c r="I749" s="117"/>
    </row>
    <row r="750" spans="1:9" s="1" customFormat="1" ht="45.75" customHeight="1">
      <c r="A750" s="49" t="s">
        <v>597</v>
      </c>
      <c r="B750" s="36" t="s">
        <v>209</v>
      </c>
      <c r="C750" s="37" t="s">
        <v>600</v>
      </c>
      <c r="D750" s="35"/>
      <c r="E750" s="42">
        <f aca="true" t="shared" si="34" ref="E750:H751">E751</f>
        <v>350</v>
      </c>
      <c r="F750" s="42">
        <f t="shared" si="34"/>
        <v>350</v>
      </c>
      <c r="G750" s="42">
        <f t="shared" si="34"/>
        <v>296.2</v>
      </c>
      <c r="H750" s="42">
        <f t="shared" si="34"/>
        <v>296.2</v>
      </c>
      <c r="I750" s="117"/>
    </row>
    <row r="751" spans="1:9" s="1" customFormat="1" ht="33.75" customHeight="1">
      <c r="A751" s="58" t="s">
        <v>352</v>
      </c>
      <c r="B751" s="36" t="s">
        <v>209</v>
      </c>
      <c r="C751" s="37" t="s">
        <v>600</v>
      </c>
      <c r="D751" s="35" t="s">
        <v>351</v>
      </c>
      <c r="E751" s="42">
        <f t="shared" si="34"/>
        <v>350</v>
      </c>
      <c r="F751" s="42">
        <f t="shared" si="34"/>
        <v>350</v>
      </c>
      <c r="G751" s="42">
        <f t="shared" si="34"/>
        <v>296.2</v>
      </c>
      <c r="H751" s="42">
        <f t="shared" si="34"/>
        <v>296.2</v>
      </c>
      <c r="I751" s="117"/>
    </row>
    <row r="752" spans="1:9" s="1" customFormat="1" ht="18" customHeight="1">
      <c r="A752" s="40" t="s">
        <v>350</v>
      </c>
      <c r="B752" s="36" t="s">
        <v>209</v>
      </c>
      <c r="C752" s="37" t="s">
        <v>600</v>
      </c>
      <c r="D752" s="35" t="s">
        <v>349</v>
      </c>
      <c r="E752" s="42">
        <f>120+230</f>
        <v>350</v>
      </c>
      <c r="F752" s="42">
        <f>E752</f>
        <v>350</v>
      </c>
      <c r="G752" s="42">
        <v>296.2</v>
      </c>
      <c r="H752" s="42">
        <f>G752</f>
        <v>296.2</v>
      </c>
      <c r="I752" s="117"/>
    </row>
    <row r="753" spans="1:9" s="1" customFormat="1" ht="30.75" customHeight="1">
      <c r="A753" s="41" t="s">
        <v>423</v>
      </c>
      <c r="B753" s="36" t="s">
        <v>209</v>
      </c>
      <c r="C753" s="8" t="s">
        <v>372</v>
      </c>
      <c r="D753" s="76"/>
      <c r="E753" s="77">
        <f>E754</f>
        <v>165912</v>
      </c>
      <c r="F753" s="42"/>
      <c r="G753" s="77">
        <f>G754</f>
        <v>87185.2</v>
      </c>
      <c r="H753" s="42"/>
      <c r="I753" s="117"/>
    </row>
    <row r="754" spans="1:9" s="1" customFormat="1" ht="30" customHeight="1">
      <c r="A754" s="58" t="s">
        <v>352</v>
      </c>
      <c r="B754" s="36" t="s">
        <v>209</v>
      </c>
      <c r="C754" s="8" t="s">
        <v>372</v>
      </c>
      <c r="D754" s="37" t="s">
        <v>351</v>
      </c>
      <c r="E754" s="38">
        <f>E755</f>
        <v>165912</v>
      </c>
      <c r="F754" s="42"/>
      <c r="G754" s="38">
        <f>G755</f>
        <v>87185.2</v>
      </c>
      <c r="H754" s="42"/>
      <c r="I754" s="117"/>
    </row>
    <row r="755" spans="1:9" s="1" customFormat="1" ht="21.75" customHeight="1">
      <c r="A755" s="41" t="s">
        <v>350</v>
      </c>
      <c r="B755" s="36" t="s">
        <v>209</v>
      </c>
      <c r="C755" s="8" t="s">
        <v>372</v>
      </c>
      <c r="D755" s="76" t="s">
        <v>349</v>
      </c>
      <c r="E755" s="77">
        <f>165912</f>
        <v>165912</v>
      </c>
      <c r="F755" s="42"/>
      <c r="G755" s="77">
        <v>87185.2</v>
      </c>
      <c r="H755" s="42"/>
      <c r="I755" s="117"/>
    </row>
    <row r="756" spans="1:9" s="1" customFormat="1" ht="21.75" customHeight="1">
      <c r="A756" s="40" t="s">
        <v>415</v>
      </c>
      <c r="B756" s="36" t="s">
        <v>209</v>
      </c>
      <c r="C756" s="37" t="s">
        <v>373</v>
      </c>
      <c r="D756" s="37"/>
      <c r="E756" s="38">
        <f>E757</f>
        <v>1236.1</v>
      </c>
      <c r="F756" s="42"/>
      <c r="G756" s="38">
        <f>G757</f>
        <v>841.3</v>
      </c>
      <c r="H756" s="42"/>
      <c r="I756" s="117"/>
    </row>
    <row r="757" spans="1:9" s="1" customFormat="1" ht="33" customHeight="1">
      <c r="A757" s="58" t="s">
        <v>352</v>
      </c>
      <c r="B757" s="36" t="s">
        <v>209</v>
      </c>
      <c r="C757" s="8" t="s">
        <v>373</v>
      </c>
      <c r="D757" s="37" t="s">
        <v>351</v>
      </c>
      <c r="E757" s="38">
        <f>E758</f>
        <v>1236.1</v>
      </c>
      <c r="F757" s="42"/>
      <c r="G757" s="38">
        <f>G758</f>
        <v>841.3</v>
      </c>
      <c r="H757" s="42"/>
      <c r="I757" s="117"/>
    </row>
    <row r="758" spans="1:9" s="1" customFormat="1" ht="21.75" customHeight="1">
      <c r="A758" s="41" t="s">
        <v>350</v>
      </c>
      <c r="B758" s="36" t="s">
        <v>209</v>
      </c>
      <c r="C758" s="8" t="s">
        <v>373</v>
      </c>
      <c r="D758" s="76" t="s">
        <v>349</v>
      </c>
      <c r="E758" s="38">
        <f>1236.1</f>
        <v>1236.1</v>
      </c>
      <c r="F758" s="43"/>
      <c r="G758" s="38">
        <v>841.3</v>
      </c>
      <c r="H758" s="43"/>
      <c r="I758" s="117"/>
    </row>
    <row r="759" spans="1:9" s="1" customFormat="1" ht="21.75" customHeight="1">
      <c r="A759" s="40" t="s">
        <v>411</v>
      </c>
      <c r="B759" s="36" t="s">
        <v>209</v>
      </c>
      <c r="C759" s="37" t="s">
        <v>374</v>
      </c>
      <c r="D759" s="37"/>
      <c r="E759" s="38">
        <f>E760</f>
        <v>682</v>
      </c>
      <c r="F759" s="42"/>
      <c r="G759" s="38">
        <f>G760</f>
        <v>502</v>
      </c>
      <c r="H759" s="42"/>
      <c r="I759" s="117"/>
    </row>
    <row r="760" spans="1:9" s="1" customFormat="1" ht="30" customHeight="1">
      <c r="A760" s="34" t="s">
        <v>352</v>
      </c>
      <c r="B760" s="36" t="s">
        <v>209</v>
      </c>
      <c r="C760" s="37" t="s">
        <v>374</v>
      </c>
      <c r="D760" s="76" t="s">
        <v>351</v>
      </c>
      <c r="E760" s="38">
        <f>E761</f>
        <v>682</v>
      </c>
      <c r="F760" s="43"/>
      <c r="G760" s="38">
        <f>G761</f>
        <v>502</v>
      </c>
      <c r="H760" s="43"/>
      <c r="I760" s="117"/>
    </row>
    <row r="761" spans="1:9" s="1" customFormat="1" ht="19.5" customHeight="1">
      <c r="A761" s="40" t="s">
        <v>350</v>
      </c>
      <c r="B761" s="36" t="s">
        <v>209</v>
      </c>
      <c r="C761" s="37" t="s">
        <v>374</v>
      </c>
      <c r="D761" s="37" t="s">
        <v>349</v>
      </c>
      <c r="E761" s="38">
        <f>100+386+196</f>
        <v>682</v>
      </c>
      <c r="F761" s="42"/>
      <c r="G761" s="38">
        <v>502</v>
      </c>
      <c r="H761" s="42"/>
      <c r="I761" s="117"/>
    </row>
    <row r="762" spans="1:9" s="1" customFormat="1" ht="30.75" customHeight="1">
      <c r="A762" s="34" t="s">
        <v>283</v>
      </c>
      <c r="B762" s="36" t="s">
        <v>209</v>
      </c>
      <c r="C762" s="8" t="s">
        <v>375</v>
      </c>
      <c r="D762" s="36"/>
      <c r="E762" s="43">
        <f>E763</f>
        <v>285051.4</v>
      </c>
      <c r="F762" s="43">
        <f>F763</f>
        <v>22585</v>
      </c>
      <c r="G762" s="43">
        <f>G763</f>
        <v>161650</v>
      </c>
      <c r="H762" s="43">
        <f>H763</f>
        <v>0</v>
      </c>
      <c r="I762" s="117"/>
    </row>
    <row r="763" spans="1:9" s="1" customFormat="1" ht="34.5" customHeight="1">
      <c r="A763" s="41" t="s">
        <v>327</v>
      </c>
      <c r="B763" s="36" t="s">
        <v>209</v>
      </c>
      <c r="C763" s="8" t="s">
        <v>376</v>
      </c>
      <c r="D763" s="36"/>
      <c r="E763" s="43">
        <f>E773+E779+E776+E767+E770+E764</f>
        <v>285051.4</v>
      </c>
      <c r="F763" s="43">
        <f>F773+F779+F776+F767+F764</f>
        <v>22585</v>
      </c>
      <c r="G763" s="43">
        <f>G773+G779+G776+G767+G770+G764</f>
        <v>161650</v>
      </c>
      <c r="H763" s="43">
        <f>H773+H779+H776+H767+H764</f>
        <v>0</v>
      </c>
      <c r="I763" s="117"/>
    </row>
    <row r="764" spans="1:9" s="1" customFormat="1" ht="51.75" customHeight="1">
      <c r="A764" s="49" t="s">
        <v>597</v>
      </c>
      <c r="B764" s="36" t="s">
        <v>209</v>
      </c>
      <c r="C764" s="37" t="s">
        <v>649</v>
      </c>
      <c r="D764" s="35"/>
      <c r="E764" s="42">
        <f aca="true" t="shared" si="35" ref="E764:H765">E765</f>
        <v>480</v>
      </c>
      <c r="F764" s="42">
        <f t="shared" si="35"/>
        <v>480</v>
      </c>
      <c r="G764" s="42">
        <f t="shared" si="35"/>
        <v>0</v>
      </c>
      <c r="H764" s="42">
        <f t="shared" si="35"/>
        <v>0</v>
      </c>
      <c r="I764" s="117"/>
    </row>
    <row r="765" spans="1:9" s="1" customFormat="1" ht="34.5" customHeight="1">
      <c r="A765" s="58" t="s">
        <v>352</v>
      </c>
      <c r="B765" s="36" t="s">
        <v>209</v>
      </c>
      <c r="C765" s="37" t="s">
        <v>649</v>
      </c>
      <c r="D765" s="35" t="s">
        <v>351</v>
      </c>
      <c r="E765" s="42">
        <f t="shared" si="35"/>
        <v>480</v>
      </c>
      <c r="F765" s="42">
        <f t="shared" si="35"/>
        <v>480</v>
      </c>
      <c r="G765" s="42">
        <f t="shared" si="35"/>
        <v>0</v>
      </c>
      <c r="H765" s="42">
        <f t="shared" si="35"/>
        <v>0</v>
      </c>
      <c r="I765" s="117"/>
    </row>
    <row r="766" spans="1:9" s="1" customFormat="1" ht="34.5" customHeight="1">
      <c r="A766" s="40" t="s">
        <v>350</v>
      </c>
      <c r="B766" s="36" t="s">
        <v>209</v>
      </c>
      <c r="C766" s="37" t="s">
        <v>649</v>
      </c>
      <c r="D766" s="35" t="s">
        <v>349</v>
      </c>
      <c r="E766" s="42">
        <f>480</f>
        <v>480</v>
      </c>
      <c r="F766" s="42">
        <f>E766</f>
        <v>480</v>
      </c>
      <c r="G766" s="42">
        <v>0</v>
      </c>
      <c r="H766" s="42">
        <f>G766</f>
        <v>0</v>
      </c>
      <c r="I766" s="117"/>
    </row>
    <row r="767" spans="1:9" s="1" customFormat="1" ht="90" customHeight="1">
      <c r="A767" s="41" t="s">
        <v>444</v>
      </c>
      <c r="B767" s="36" t="s">
        <v>209</v>
      </c>
      <c r="C767" s="8" t="s">
        <v>469</v>
      </c>
      <c r="D767" s="35"/>
      <c r="E767" s="43">
        <f aca="true" t="shared" si="36" ref="E767:H768">E768</f>
        <v>22105</v>
      </c>
      <c r="F767" s="43">
        <f t="shared" si="36"/>
        <v>22105</v>
      </c>
      <c r="G767" s="43">
        <f t="shared" si="36"/>
        <v>0</v>
      </c>
      <c r="H767" s="43">
        <f t="shared" si="36"/>
        <v>0</v>
      </c>
      <c r="I767" s="117"/>
    </row>
    <row r="768" spans="1:9" s="1" customFormat="1" ht="34.5" customHeight="1">
      <c r="A768" s="34" t="s">
        <v>352</v>
      </c>
      <c r="B768" s="36" t="s">
        <v>209</v>
      </c>
      <c r="C768" s="8" t="s">
        <v>469</v>
      </c>
      <c r="D768" s="76" t="s">
        <v>351</v>
      </c>
      <c r="E768" s="43">
        <f t="shared" si="36"/>
        <v>22105</v>
      </c>
      <c r="F768" s="43">
        <f t="shared" si="36"/>
        <v>22105</v>
      </c>
      <c r="G768" s="43">
        <f t="shared" si="36"/>
        <v>0</v>
      </c>
      <c r="H768" s="43">
        <f t="shared" si="36"/>
        <v>0</v>
      </c>
      <c r="I768" s="117"/>
    </row>
    <row r="769" spans="1:9" s="1" customFormat="1" ht="25.5" customHeight="1">
      <c r="A769" s="40" t="s">
        <v>350</v>
      </c>
      <c r="B769" s="36" t="s">
        <v>209</v>
      </c>
      <c r="C769" s="8" t="s">
        <v>469</v>
      </c>
      <c r="D769" s="37" t="s">
        <v>349</v>
      </c>
      <c r="E769" s="43">
        <v>22105</v>
      </c>
      <c r="F769" s="43">
        <v>22105</v>
      </c>
      <c r="G769" s="43">
        <v>0</v>
      </c>
      <c r="H769" s="43">
        <v>0</v>
      </c>
      <c r="I769" s="117"/>
    </row>
    <row r="770" spans="1:9" s="1" customFormat="1" ht="93" customHeight="1">
      <c r="A770" s="41" t="s">
        <v>447</v>
      </c>
      <c r="B770" s="36" t="s">
        <v>209</v>
      </c>
      <c r="C770" s="8" t="s">
        <v>448</v>
      </c>
      <c r="D770" s="8"/>
      <c r="E770" s="43">
        <f>E771</f>
        <v>9474</v>
      </c>
      <c r="F770" s="43"/>
      <c r="G770" s="43">
        <f>G771</f>
        <v>0</v>
      </c>
      <c r="H770" s="43"/>
      <c r="I770" s="117"/>
    </row>
    <row r="771" spans="1:9" s="1" customFormat="1" ht="31.5" customHeight="1">
      <c r="A771" s="34" t="s">
        <v>352</v>
      </c>
      <c r="B771" s="36" t="s">
        <v>209</v>
      </c>
      <c r="C771" s="8" t="s">
        <v>448</v>
      </c>
      <c r="D771" s="8" t="s">
        <v>351</v>
      </c>
      <c r="E771" s="43">
        <f>E772</f>
        <v>9474</v>
      </c>
      <c r="F771" s="43"/>
      <c r="G771" s="43">
        <f>G772</f>
        <v>0</v>
      </c>
      <c r="H771" s="43"/>
      <c r="I771" s="117"/>
    </row>
    <row r="772" spans="1:9" s="1" customFormat="1" ht="24.75" customHeight="1">
      <c r="A772" s="40" t="s">
        <v>350</v>
      </c>
      <c r="B772" s="36" t="s">
        <v>209</v>
      </c>
      <c r="C772" s="8" t="s">
        <v>448</v>
      </c>
      <c r="D772" s="8" t="s">
        <v>349</v>
      </c>
      <c r="E772" s="43">
        <f>9473+0.7+0.3</f>
        <v>9474</v>
      </c>
      <c r="F772" s="43"/>
      <c r="G772" s="43">
        <v>0</v>
      </c>
      <c r="H772" s="43"/>
      <c r="I772" s="117"/>
    </row>
    <row r="773" spans="1:9" s="1" customFormat="1" ht="34.5" customHeight="1">
      <c r="A773" s="41" t="s">
        <v>239</v>
      </c>
      <c r="B773" s="36" t="s">
        <v>209</v>
      </c>
      <c r="C773" s="8" t="s">
        <v>377</v>
      </c>
      <c r="D773" s="36"/>
      <c r="E773" s="43">
        <f>E774</f>
        <v>248004.3</v>
      </c>
      <c r="F773" s="43"/>
      <c r="G773" s="43">
        <f>G774</f>
        <v>161200</v>
      </c>
      <c r="H773" s="43"/>
      <c r="I773" s="117"/>
    </row>
    <row r="774" spans="1:9" s="1" customFormat="1" ht="31.5" customHeight="1">
      <c r="A774" s="34" t="s">
        <v>352</v>
      </c>
      <c r="B774" s="36" t="s">
        <v>209</v>
      </c>
      <c r="C774" s="8" t="s">
        <v>377</v>
      </c>
      <c r="D774" s="36" t="s">
        <v>351</v>
      </c>
      <c r="E774" s="43">
        <f>E775</f>
        <v>248004.3</v>
      </c>
      <c r="F774" s="42"/>
      <c r="G774" s="43">
        <f>G775</f>
        <v>161200</v>
      </c>
      <c r="H774" s="42"/>
      <c r="I774" s="117"/>
    </row>
    <row r="775" spans="1:9" s="1" customFormat="1" ht="20.25" customHeight="1">
      <c r="A775" s="41" t="s">
        <v>350</v>
      </c>
      <c r="B775" s="36" t="s">
        <v>209</v>
      </c>
      <c r="C775" s="8" t="s">
        <v>377</v>
      </c>
      <c r="D775" s="36" t="s">
        <v>349</v>
      </c>
      <c r="E775" s="43">
        <f>248765.4-0.7-0.3-760.1</f>
        <v>248004.3</v>
      </c>
      <c r="F775" s="42"/>
      <c r="G775" s="43">
        <v>161200</v>
      </c>
      <c r="H775" s="42"/>
      <c r="I775" s="117"/>
    </row>
    <row r="776" spans="1:9" s="1" customFormat="1" ht="20.25" customHeight="1">
      <c r="A776" s="41" t="s">
        <v>47</v>
      </c>
      <c r="B776" s="36" t="s">
        <v>209</v>
      </c>
      <c r="C776" s="8" t="s">
        <v>378</v>
      </c>
      <c r="D776" s="36"/>
      <c r="E776" s="43">
        <f>E777</f>
        <v>550</v>
      </c>
      <c r="F776" s="42"/>
      <c r="G776" s="43">
        <f>G777</f>
        <v>450</v>
      </c>
      <c r="H776" s="42"/>
      <c r="I776" s="117"/>
    </row>
    <row r="777" spans="1:9" s="1" customFormat="1" ht="28.5" customHeight="1">
      <c r="A777" s="34" t="s">
        <v>352</v>
      </c>
      <c r="B777" s="36" t="s">
        <v>209</v>
      </c>
      <c r="C777" s="8" t="s">
        <v>378</v>
      </c>
      <c r="D777" s="36" t="s">
        <v>351</v>
      </c>
      <c r="E777" s="43">
        <f>E778</f>
        <v>550</v>
      </c>
      <c r="F777" s="42"/>
      <c r="G777" s="43">
        <f>G778</f>
        <v>450</v>
      </c>
      <c r="H777" s="42"/>
      <c r="I777" s="117"/>
    </row>
    <row r="778" spans="1:9" s="1" customFormat="1" ht="20.25" customHeight="1">
      <c r="A778" s="41" t="s">
        <v>350</v>
      </c>
      <c r="B778" s="36" t="s">
        <v>209</v>
      </c>
      <c r="C778" s="8" t="s">
        <v>378</v>
      </c>
      <c r="D778" s="36" t="s">
        <v>349</v>
      </c>
      <c r="E778" s="43">
        <f>550</f>
        <v>550</v>
      </c>
      <c r="F778" s="42"/>
      <c r="G778" s="43">
        <v>450</v>
      </c>
      <c r="H778" s="42"/>
      <c r="I778" s="117"/>
    </row>
    <row r="779" spans="1:9" s="1" customFormat="1" ht="28.5" customHeight="1">
      <c r="A779" s="40" t="s">
        <v>46</v>
      </c>
      <c r="B779" s="36" t="s">
        <v>209</v>
      </c>
      <c r="C779" s="8" t="s">
        <v>379</v>
      </c>
      <c r="D779" s="36"/>
      <c r="E779" s="43">
        <f>E780</f>
        <v>4438.1</v>
      </c>
      <c r="F779" s="42"/>
      <c r="G779" s="43">
        <f>G780</f>
        <v>0</v>
      </c>
      <c r="H779" s="42"/>
      <c r="I779" s="117"/>
    </row>
    <row r="780" spans="1:9" s="1" customFormat="1" ht="28.5" customHeight="1">
      <c r="A780" s="34" t="s">
        <v>352</v>
      </c>
      <c r="B780" s="36" t="s">
        <v>209</v>
      </c>
      <c r="C780" s="8" t="s">
        <v>379</v>
      </c>
      <c r="D780" s="36" t="s">
        <v>351</v>
      </c>
      <c r="E780" s="43">
        <f>E781</f>
        <v>4438.1</v>
      </c>
      <c r="F780" s="42"/>
      <c r="G780" s="43">
        <f>G781</f>
        <v>0</v>
      </c>
      <c r="H780" s="42"/>
      <c r="I780" s="117"/>
    </row>
    <row r="781" spans="1:9" s="1" customFormat="1" ht="20.25" customHeight="1">
      <c r="A781" s="41" t="s">
        <v>350</v>
      </c>
      <c r="B781" s="36" t="s">
        <v>209</v>
      </c>
      <c r="C781" s="8" t="s">
        <v>379</v>
      </c>
      <c r="D781" s="36" t="s">
        <v>349</v>
      </c>
      <c r="E781" s="43">
        <f>3477.8+760.1+200.2</f>
        <v>4438.1</v>
      </c>
      <c r="F781" s="42"/>
      <c r="G781" s="43">
        <v>0</v>
      </c>
      <c r="H781" s="42"/>
      <c r="I781" s="117"/>
    </row>
    <row r="782" spans="1:9" s="1" customFormat="1" ht="24" customHeight="1">
      <c r="A782" s="57" t="s">
        <v>211</v>
      </c>
      <c r="B782" s="61" t="s">
        <v>157</v>
      </c>
      <c r="C782" s="61"/>
      <c r="D782" s="61"/>
      <c r="E782" s="11">
        <f>E783</f>
        <v>1658</v>
      </c>
      <c r="F782" s="11">
        <f>F783</f>
        <v>1658</v>
      </c>
      <c r="G782" s="11">
        <f>G783</f>
        <v>282.5</v>
      </c>
      <c r="H782" s="11">
        <f>H783</f>
        <v>282.5</v>
      </c>
      <c r="I782" s="117"/>
    </row>
    <row r="783" spans="1:9" s="1" customFormat="1" ht="108" customHeight="1">
      <c r="A783" s="41" t="s">
        <v>255</v>
      </c>
      <c r="B783" s="37" t="s">
        <v>157</v>
      </c>
      <c r="C783" s="8" t="s">
        <v>470</v>
      </c>
      <c r="D783" s="37"/>
      <c r="E783" s="38">
        <f>E785</f>
        <v>1658</v>
      </c>
      <c r="F783" s="38">
        <f>F785</f>
        <v>1658</v>
      </c>
      <c r="G783" s="38">
        <f>G785</f>
        <v>282.5</v>
      </c>
      <c r="H783" s="38">
        <f>H785</f>
        <v>282.5</v>
      </c>
      <c r="I783" s="117"/>
    </row>
    <row r="784" spans="1:9" s="1" customFormat="1" ht="30.75" customHeight="1">
      <c r="A784" s="34" t="s">
        <v>352</v>
      </c>
      <c r="B784" s="37" t="s">
        <v>157</v>
      </c>
      <c r="C784" s="8" t="s">
        <v>470</v>
      </c>
      <c r="D784" s="37" t="s">
        <v>351</v>
      </c>
      <c r="E784" s="38">
        <f>E785</f>
        <v>1658</v>
      </c>
      <c r="F784" s="38">
        <f>F785</f>
        <v>1658</v>
      </c>
      <c r="G784" s="38">
        <f>G785</f>
        <v>282.5</v>
      </c>
      <c r="H784" s="38">
        <f>H785</f>
        <v>282.5</v>
      </c>
      <c r="I784" s="117"/>
    </row>
    <row r="785" spans="1:9" s="1" customFormat="1" ht="28.5" customHeight="1">
      <c r="A785" s="65" t="s">
        <v>50</v>
      </c>
      <c r="B785" s="37" t="s">
        <v>157</v>
      </c>
      <c r="C785" s="8" t="s">
        <v>470</v>
      </c>
      <c r="D785" s="37" t="s">
        <v>86</v>
      </c>
      <c r="E785" s="38">
        <v>1658</v>
      </c>
      <c r="F785" s="38">
        <f>E785</f>
        <v>1658</v>
      </c>
      <c r="G785" s="38">
        <v>282.5</v>
      </c>
      <c r="H785" s="38">
        <f>G785</f>
        <v>282.5</v>
      </c>
      <c r="I785" s="117"/>
    </row>
    <row r="786" spans="1:9" s="1" customFormat="1" ht="18" customHeight="1">
      <c r="A786" s="57" t="s">
        <v>212</v>
      </c>
      <c r="B786" s="61" t="s">
        <v>98</v>
      </c>
      <c r="C786" s="61"/>
      <c r="D786" s="61"/>
      <c r="E786" s="11">
        <f>E787</f>
        <v>15411</v>
      </c>
      <c r="F786" s="11">
        <f>F787</f>
        <v>0</v>
      </c>
      <c r="G786" s="11">
        <f>G787</f>
        <v>7800</v>
      </c>
      <c r="H786" s="11">
        <f>H787</f>
        <v>0</v>
      </c>
      <c r="I786" s="117"/>
    </row>
    <row r="787" spans="1:9" s="2" customFormat="1" ht="33.75" customHeight="1">
      <c r="A787" s="50" t="s">
        <v>282</v>
      </c>
      <c r="B787" s="45" t="s">
        <v>98</v>
      </c>
      <c r="C787" s="45" t="s">
        <v>383</v>
      </c>
      <c r="D787" s="45"/>
      <c r="E787" s="48">
        <f>E788</f>
        <v>15411</v>
      </c>
      <c r="F787" s="48"/>
      <c r="G787" s="48">
        <f>G788</f>
        <v>7800</v>
      </c>
      <c r="H787" s="48"/>
      <c r="I787" s="118"/>
    </row>
    <row r="788" spans="1:9" s="2" customFormat="1" ht="48" customHeight="1">
      <c r="A788" s="66" t="s">
        <v>358</v>
      </c>
      <c r="B788" s="45" t="s">
        <v>98</v>
      </c>
      <c r="C788" s="45" t="s">
        <v>384</v>
      </c>
      <c r="D788" s="45"/>
      <c r="E788" s="48">
        <f>E790+E792</f>
        <v>15411</v>
      </c>
      <c r="F788" s="48"/>
      <c r="G788" s="48">
        <f>G790+G792</f>
        <v>7800</v>
      </c>
      <c r="H788" s="48"/>
      <c r="I788" s="118"/>
    </row>
    <row r="789" spans="1:9" s="2" customFormat="1" ht="20.25" customHeight="1">
      <c r="A789" s="50" t="s">
        <v>120</v>
      </c>
      <c r="B789" s="45" t="s">
        <v>98</v>
      </c>
      <c r="C789" s="45" t="s">
        <v>385</v>
      </c>
      <c r="D789" s="45"/>
      <c r="E789" s="48">
        <f>E790</f>
        <v>11231</v>
      </c>
      <c r="F789" s="48"/>
      <c r="G789" s="48">
        <f>G790</f>
        <v>6000</v>
      </c>
      <c r="H789" s="48"/>
      <c r="I789" s="118"/>
    </row>
    <row r="790" spans="1:9" s="2" customFormat="1" ht="30" customHeight="1">
      <c r="A790" s="34" t="s">
        <v>352</v>
      </c>
      <c r="B790" s="45" t="s">
        <v>98</v>
      </c>
      <c r="C790" s="45" t="s">
        <v>385</v>
      </c>
      <c r="D790" s="45" t="s">
        <v>351</v>
      </c>
      <c r="E790" s="48">
        <f>E791</f>
        <v>11231</v>
      </c>
      <c r="F790" s="48"/>
      <c r="G790" s="48">
        <f>G791</f>
        <v>6000</v>
      </c>
      <c r="H790" s="48"/>
      <c r="I790" s="118"/>
    </row>
    <row r="791" spans="1:9" s="2" customFormat="1" ht="21" customHeight="1">
      <c r="A791" s="44" t="s">
        <v>350</v>
      </c>
      <c r="B791" s="45" t="s">
        <v>98</v>
      </c>
      <c r="C791" s="45" t="s">
        <v>385</v>
      </c>
      <c r="D791" s="45" t="s">
        <v>349</v>
      </c>
      <c r="E791" s="48">
        <f>11231</f>
        <v>11231</v>
      </c>
      <c r="F791" s="48"/>
      <c r="G791" s="48">
        <v>6000</v>
      </c>
      <c r="H791" s="48"/>
      <c r="I791" s="118"/>
    </row>
    <row r="792" spans="1:9" s="2" customFormat="1" ht="30" customHeight="1">
      <c r="A792" s="50" t="s">
        <v>359</v>
      </c>
      <c r="B792" s="45" t="s">
        <v>98</v>
      </c>
      <c r="C792" s="45" t="s">
        <v>386</v>
      </c>
      <c r="D792" s="45"/>
      <c r="E792" s="48">
        <f>E793</f>
        <v>4180</v>
      </c>
      <c r="F792" s="48"/>
      <c r="G792" s="48">
        <f>G793</f>
        <v>1800</v>
      </c>
      <c r="H792" s="48"/>
      <c r="I792" s="118"/>
    </row>
    <row r="793" spans="1:9" s="2" customFormat="1" ht="30.75" customHeight="1">
      <c r="A793" s="58" t="s">
        <v>352</v>
      </c>
      <c r="B793" s="45" t="s">
        <v>98</v>
      </c>
      <c r="C793" s="45" t="s">
        <v>386</v>
      </c>
      <c r="D793" s="45" t="s">
        <v>351</v>
      </c>
      <c r="E793" s="48">
        <f>E794</f>
        <v>4180</v>
      </c>
      <c r="F793" s="48"/>
      <c r="G793" s="48">
        <f>G794</f>
        <v>1800</v>
      </c>
      <c r="H793" s="48"/>
      <c r="I793" s="118"/>
    </row>
    <row r="794" spans="1:9" s="2" customFormat="1" ht="22.5" customHeight="1">
      <c r="A794" s="56" t="s">
        <v>350</v>
      </c>
      <c r="B794" s="45" t="s">
        <v>98</v>
      </c>
      <c r="C794" s="45" t="s">
        <v>386</v>
      </c>
      <c r="D794" s="45" t="s">
        <v>349</v>
      </c>
      <c r="E794" s="48">
        <f>3500+680</f>
        <v>4180</v>
      </c>
      <c r="F794" s="48"/>
      <c r="G794" s="48">
        <v>1800</v>
      </c>
      <c r="H794" s="48"/>
      <c r="I794" s="118"/>
    </row>
    <row r="795" spans="1:9" s="2" customFormat="1" ht="17.25" customHeight="1">
      <c r="A795" s="79" t="s">
        <v>124</v>
      </c>
      <c r="B795" s="80" t="s">
        <v>125</v>
      </c>
      <c r="C795" s="80"/>
      <c r="D795" s="80"/>
      <c r="E795" s="81">
        <f>E807+E837+E796</f>
        <v>107782</v>
      </c>
      <c r="F795" s="81">
        <f>F807+F837+F796</f>
        <v>13363</v>
      </c>
      <c r="G795" s="81">
        <f>G807+G837+G796</f>
        <v>43899.2</v>
      </c>
      <c r="H795" s="81">
        <f>H807+H837+H796</f>
        <v>6913.4</v>
      </c>
      <c r="I795" s="118"/>
    </row>
    <row r="796" spans="1:9" s="2" customFormat="1" ht="47.25" customHeight="1">
      <c r="A796" s="34" t="s">
        <v>4</v>
      </c>
      <c r="B796" s="45" t="s">
        <v>125</v>
      </c>
      <c r="C796" s="45" t="s">
        <v>371</v>
      </c>
      <c r="D796" s="45"/>
      <c r="E796" s="48">
        <f>E802+E797</f>
        <v>29205</v>
      </c>
      <c r="F796" s="48">
        <f>F802+F797</f>
        <v>10205</v>
      </c>
      <c r="G796" s="48">
        <f>G802+G797</f>
        <v>12779.599999999999</v>
      </c>
      <c r="H796" s="48">
        <f>H802+H797</f>
        <v>5501</v>
      </c>
      <c r="I796" s="118"/>
    </row>
    <row r="797" spans="1:9" s="2" customFormat="1" ht="34.5" customHeight="1">
      <c r="A797" s="34" t="s">
        <v>479</v>
      </c>
      <c r="B797" s="45" t="s">
        <v>125</v>
      </c>
      <c r="C797" s="45" t="s">
        <v>478</v>
      </c>
      <c r="D797" s="45"/>
      <c r="E797" s="48">
        <f>E798+E800</f>
        <v>10205</v>
      </c>
      <c r="F797" s="48">
        <f>F798+F800</f>
        <v>10205</v>
      </c>
      <c r="G797" s="48">
        <f>G798+G800</f>
        <v>5501</v>
      </c>
      <c r="H797" s="48">
        <f>H798+H800</f>
        <v>5501</v>
      </c>
      <c r="I797" s="118"/>
    </row>
    <row r="798" spans="1:9" s="2" customFormat="1" ht="25.5" customHeight="1">
      <c r="A798" s="44" t="s">
        <v>175</v>
      </c>
      <c r="B798" s="45" t="s">
        <v>125</v>
      </c>
      <c r="C798" s="45" t="s">
        <v>478</v>
      </c>
      <c r="D798" s="45" t="s">
        <v>174</v>
      </c>
      <c r="E798" s="48">
        <f>E799</f>
        <v>8305.4</v>
      </c>
      <c r="F798" s="48">
        <f>F799</f>
        <v>8305.4</v>
      </c>
      <c r="G798" s="48">
        <f>G799</f>
        <v>3601.4</v>
      </c>
      <c r="H798" s="48">
        <f>H799</f>
        <v>3601.4</v>
      </c>
      <c r="I798" s="118"/>
    </row>
    <row r="799" spans="1:9" s="2" customFormat="1" ht="35.25" customHeight="1">
      <c r="A799" s="44" t="s">
        <v>177</v>
      </c>
      <c r="B799" s="45" t="s">
        <v>125</v>
      </c>
      <c r="C799" s="45" t="s">
        <v>478</v>
      </c>
      <c r="D799" s="45" t="s">
        <v>176</v>
      </c>
      <c r="E799" s="48">
        <f>10205-1899.6</f>
        <v>8305.4</v>
      </c>
      <c r="F799" s="48">
        <f>E799</f>
        <v>8305.4</v>
      </c>
      <c r="G799" s="48">
        <v>3601.4</v>
      </c>
      <c r="H799" s="48">
        <f>G799</f>
        <v>3601.4</v>
      </c>
      <c r="I799" s="118"/>
    </row>
    <row r="800" spans="1:9" s="2" customFormat="1" ht="36" customHeight="1">
      <c r="A800" s="58" t="s">
        <v>352</v>
      </c>
      <c r="B800" s="45" t="s">
        <v>125</v>
      </c>
      <c r="C800" s="45" t="s">
        <v>478</v>
      </c>
      <c r="D800" s="45" t="s">
        <v>351</v>
      </c>
      <c r="E800" s="48">
        <f>E801</f>
        <v>1899.6</v>
      </c>
      <c r="F800" s="48">
        <f>F801</f>
        <v>1899.6</v>
      </c>
      <c r="G800" s="48">
        <f>G801</f>
        <v>1899.6</v>
      </c>
      <c r="H800" s="48">
        <f>H801</f>
        <v>1899.6</v>
      </c>
      <c r="I800" s="118"/>
    </row>
    <row r="801" spans="1:9" s="2" customFormat="1" ht="17.25" customHeight="1">
      <c r="A801" s="56" t="s">
        <v>350</v>
      </c>
      <c r="B801" s="45" t="s">
        <v>125</v>
      </c>
      <c r="C801" s="45" t="s">
        <v>478</v>
      </c>
      <c r="D801" s="45" t="s">
        <v>349</v>
      </c>
      <c r="E801" s="48">
        <f>1899.6</f>
        <v>1899.6</v>
      </c>
      <c r="F801" s="48">
        <f>E801</f>
        <v>1899.6</v>
      </c>
      <c r="G801" s="48">
        <v>1899.6</v>
      </c>
      <c r="H801" s="48">
        <f>G801</f>
        <v>1899.6</v>
      </c>
      <c r="I801" s="118"/>
    </row>
    <row r="802" spans="1:9" s="2" customFormat="1" ht="35.25" customHeight="1">
      <c r="A802" s="56" t="s">
        <v>235</v>
      </c>
      <c r="B802" s="45" t="s">
        <v>125</v>
      </c>
      <c r="C802" s="45" t="s">
        <v>236</v>
      </c>
      <c r="D802" s="45"/>
      <c r="E802" s="48">
        <f>E803+E805</f>
        <v>19000</v>
      </c>
      <c r="F802" s="48"/>
      <c r="G802" s="48">
        <f>G803+G805</f>
        <v>7278.599999999999</v>
      </c>
      <c r="H802" s="48"/>
      <c r="I802" s="118"/>
    </row>
    <row r="803" spans="1:9" s="2" customFormat="1" ht="23.25" customHeight="1">
      <c r="A803" s="44" t="s">
        <v>175</v>
      </c>
      <c r="B803" s="45" t="s">
        <v>125</v>
      </c>
      <c r="C803" s="45" t="s">
        <v>236</v>
      </c>
      <c r="D803" s="45" t="s">
        <v>174</v>
      </c>
      <c r="E803" s="48">
        <f>E804</f>
        <v>12457.6</v>
      </c>
      <c r="F803" s="82">
        <f>F804</f>
        <v>0</v>
      </c>
      <c r="G803" s="48">
        <f>G804</f>
        <v>736.2</v>
      </c>
      <c r="H803" s="82">
        <f>H804</f>
        <v>0</v>
      </c>
      <c r="I803" s="118"/>
    </row>
    <row r="804" spans="1:9" s="2" customFormat="1" ht="32.25" customHeight="1">
      <c r="A804" s="44" t="s">
        <v>177</v>
      </c>
      <c r="B804" s="45" t="s">
        <v>125</v>
      </c>
      <c r="C804" s="45" t="s">
        <v>236</v>
      </c>
      <c r="D804" s="45" t="s">
        <v>176</v>
      </c>
      <c r="E804" s="48">
        <f>10000-542.4+3000</f>
        <v>12457.6</v>
      </c>
      <c r="F804" s="81"/>
      <c r="G804" s="48">
        <v>736.2</v>
      </c>
      <c r="H804" s="81"/>
      <c r="I804" s="118"/>
    </row>
    <row r="805" spans="1:9" s="2" customFormat="1" ht="35.25" customHeight="1">
      <c r="A805" s="58" t="s">
        <v>352</v>
      </c>
      <c r="B805" s="45" t="s">
        <v>125</v>
      </c>
      <c r="C805" s="45" t="s">
        <v>236</v>
      </c>
      <c r="D805" s="67" t="s">
        <v>351</v>
      </c>
      <c r="E805" s="48">
        <f>E806</f>
        <v>6542.4</v>
      </c>
      <c r="F805" s="48"/>
      <c r="G805" s="48">
        <f>G806</f>
        <v>6542.4</v>
      </c>
      <c r="H805" s="48"/>
      <c r="I805" s="118"/>
    </row>
    <row r="806" spans="1:9" s="2" customFormat="1" ht="21.75" customHeight="1">
      <c r="A806" s="56" t="s">
        <v>350</v>
      </c>
      <c r="B806" s="45" t="s">
        <v>125</v>
      </c>
      <c r="C806" s="45" t="s">
        <v>236</v>
      </c>
      <c r="D806" s="67" t="s">
        <v>349</v>
      </c>
      <c r="E806" s="48">
        <f>6000+542.4</f>
        <v>6542.4</v>
      </c>
      <c r="F806" s="48"/>
      <c r="G806" s="48">
        <v>6542.4</v>
      </c>
      <c r="H806" s="48"/>
      <c r="I806" s="118"/>
    </row>
    <row r="807" spans="1:9" s="2" customFormat="1" ht="21" customHeight="1">
      <c r="A807" s="34" t="s">
        <v>5</v>
      </c>
      <c r="B807" s="45" t="s">
        <v>125</v>
      </c>
      <c r="C807" s="45" t="s">
        <v>387</v>
      </c>
      <c r="D807" s="45"/>
      <c r="E807" s="82">
        <f>E808+E820+E831+E834</f>
        <v>77877</v>
      </c>
      <c r="F807" s="82">
        <f>F808+F820+F831+F834</f>
        <v>3158</v>
      </c>
      <c r="G807" s="82">
        <f>G808+G820+G831+G834</f>
        <v>30846.3</v>
      </c>
      <c r="H807" s="82">
        <f>H808+H820+H831+H834</f>
        <v>1412.4</v>
      </c>
      <c r="I807" s="118"/>
    </row>
    <row r="808" spans="1:9" s="2" customFormat="1" ht="17.25" customHeight="1">
      <c r="A808" s="34" t="s">
        <v>119</v>
      </c>
      <c r="B808" s="45" t="s">
        <v>125</v>
      </c>
      <c r="C808" s="45" t="s">
        <v>388</v>
      </c>
      <c r="D808" s="45"/>
      <c r="E808" s="48">
        <f>E809+E812+E815</f>
        <v>27901.5</v>
      </c>
      <c r="F808" s="48"/>
      <c r="G808" s="48">
        <f>G809+G812+G815</f>
        <v>8742.4</v>
      </c>
      <c r="H808" s="48"/>
      <c r="I808" s="118"/>
    </row>
    <row r="809" spans="1:9" s="2" customFormat="1" ht="19.5" customHeight="1">
      <c r="A809" s="56" t="s">
        <v>159</v>
      </c>
      <c r="B809" s="45" t="s">
        <v>125</v>
      </c>
      <c r="C809" s="45" t="s">
        <v>389</v>
      </c>
      <c r="D809" s="45"/>
      <c r="E809" s="48">
        <f>E810</f>
        <v>9430.1</v>
      </c>
      <c r="F809" s="48"/>
      <c r="G809" s="48">
        <f>G810</f>
        <v>2933.2</v>
      </c>
      <c r="H809" s="48"/>
      <c r="I809" s="118"/>
    </row>
    <row r="810" spans="1:9" s="2" customFormat="1" ht="60.75" customHeight="1">
      <c r="A810" s="44" t="s">
        <v>344</v>
      </c>
      <c r="B810" s="45" t="s">
        <v>125</v>
      </c>
      <c r="C810" s="45" t="s">
        <v>389</v>
      </c>
      <c r="D810" s="45" t="s">
        <v>180</v>
      </c>
      <c r="E810" s="48">
        <f>E811</f>
        <v>9430.1</v>
      </c>
      <c r="F810" s="48"/>
      <c r="G810" s="48">
        <f>G811</f>
        <v>2933.2</v>
      </c>
      <c r="H810" s="48"/>
      <c r="I810" s="118"/>
    </row>
    <row r="811" spans="1:9" s="2" customFormat="1" ht="23.25" customHeight="1">
      <c r="A811" s="56" t="s">
        <v>173</v>
      </c>
      <c r="B811" s="45" t="s">
        <v>125</v>
      </c>
      <c r="C811" s="45" t="s">
        <v>389</v>
      </c>
      <c r="D811" s="45" t="s">
        <v>172</v>
      </c>
      <c r="E811" s="48">
        <f>8438+992.1</f>
        <v>9430.1</v>
      </c>
      <c r="F811" s="48"/>
      <c r="G811" s="48">
        <v>2933.2</v>
      </c>
      <c r="H811" s="48"/>
      <c r="I811" s="118"/>
    </row>
    <row r="812" spans="1:9" s="2" customFormat="1" ht="17.25" customHeight="1">
      <c r="A812" s="56" t="s">
        <v>160</v>
      </c>
      <c r="B812" s="45" t="s">
        <v>125</v>
      </c>
      <c r="C812" s="45" t="s">
        <v>390</v>
      </c>
      <c r="D812" s="45"/>
      <c r="E812" s="48">
        <f>E813</f>
        <v>13671.4</v>
      </c>
      <c r="F812" s="48"/>
      <c r="G812" s="48">
        <f>G813</f>
        <v>4999</v>
      </c>
      <c r="H812" s="48"/>
      <c r="I812" s="118"/>
    </row>
    <row r="813" spans="1:9" s="2" customFormat="1" ht="69" customHeight="1">
      <c r="A813" s="44" t="s">
        <v>344</v>
      </c>
      <c r="B813" s="45" t="s">
        <v>125</v>
      </c>
      <c r="C813" s="45" t="s">
        <v>390</v>
      </c>
      <c r="D813" s="45" t="s">
        <v>180</v>
      </c>
      <c r="E813" s="48">
        <f>E814</f>
        <v>13671.4</v>
      </c>
      <c r="F813" s="48"/>
      <c r="G813" s="48">
        <f>G814</f>
        <v>4999</v>
      </c>
      <c r="H813" s="48"/>
      <c r="I813" s="118"/>
    </row>
    <row r="814" spans="1:9" s="2" customFormat="1" ht="23.25" customHeight="1">
      <c r="A814" s="44" t="s">
        <v>173</v>
      </c>
      <c r="B814" s="45" t="s">
        <v>125</v>
      </c>
      <c r="C814" s="45" t="s">
        <v>390</v>
      </c>
      <c r="D814" s="45" t="s">
        <v>172</v>
      </c>
      <c r="E814" s="48">
        <f>13046.4+625</f>
        <v>13671.4</v>
      </c>
      <c r="F814" s="48"/>
      <c r="G814" s="48">
        <v>4999</v>
      </c>
      <c r="H814" s="48"/>
      <c r="I814" s="118"/>
    </row>
    <row r="815" spans="1:9" s="2" customFormat="1" ht="27.75">
      <c r="A815" s="44" t="s">
        <v>71</v>
      </c>
      <c r="B815" s="45" t="s">
        <v>125</v>
      </c>
      <c r="C815" s="45" t="s">
        <v>391</v>
      </c>
      <c r="D815" s="45"/>
      <c r="E815" s="48">
        <f>E816+E818</f>
        <v>4800</v>
      </c>
      <c r="F815" s="48"/>
      <c r="G815" s="48">
        <f>G816+G818</f>
        <v>810.2</v>
      </c>
      <c r="H815" s="48"/>
      <c r="I815" s="118"/>
    </row>
    <row r="816" spans="1:9" s="2" customFormat="1" ht="22.5" customHeight="1">
      <c r="A816" s="44" t="s">
        <v>175</v>
      </c>
      <c r="B816" s="45" t="s">
        <v>125</v>
      </c>
      <c r="C816" s="45" t="s">
        <v>391</v>
      </c>
      <c r="D816" s="45" t="s">
        <v>174</v>
      </c>
      <c r="E816" s="48">
        <f>E817</f>
        <v>3050</v>
      </c>
      <c r="F816" s="48"/>
      <c r="G816" s="48">
        <f>G817</f>
        <v>351.1</v>
      </c>
      <c r="H816" s="48"/>
      <c r="I816" s="118"/>
    </row>
    <row r="817" spans="1:9" s="2" customFormat="1" ht="33" customHeight="1">
      <c r="A817" s="44" t="s">
        <v>177</v>
      </c>
      <c r="B817" s="45" t="s">
        <v>125</v>
      </c>
      <c r="C817" s="45" t="s">
        <v>391</v>
      </c>
      <c r="D817" s="45" t="s">
        <v>176</v>
      </c>
      <c r="E817" s="48">
        <f>3750-700</f>
        <v>3050</v>
      </c>
      <c r="F817" s="48"/>
      <c r="G817" s="48">
        <v>351.1</v>
      </c>
      <c r="H817" s="48"/>
      <c r="I817" s="118"/>
    </row>
    <row r="818" spans="1:9" s="2" customFormat="1" ht="21.75" customHeight="1">
      <c r="A818" s="44" t="s">
        <v>179</v>
      </c>
      <c r="B818" s="45" t="s">
        <v>125</v>
      </c>
      <c r="C818" s="45" t="s">
        <v>391</v>
      </c>
      <c r="D818" s="45" t="s">
        <v>178</v>
      </c>
      <c r="E818" s="48">
        <f>E819</f>
        <v>1750</v>
      </c>
      <c r="F818" s="48"/>
      <c r="G818" s="48">
        <f>G819</f>
        <v>459.1</v>
      </c>
      <c r="H818" s="48"/>
      <c r="I818" s="118"/>
    </row>
    <row r="819" spans="1:9" s="2" customFormat="1" ht="21.75" customHeight="1">
      <c r="A819" s="56" t="s">
        <v>348</v>
      </c>
      <c r="B819" s="45" t="s">
        <v>125</v>
      </c>
      <c r="C819" s="45" t="s">
        <v>391</v>
      </c>
      <c r="D819" s="45" t="s">
        <v>347</v>
      </c>
      <c r="E819" s="111">
        <f>1750</f>
        <v>1750</v>
      </c>
      <c r="F819" s="48"/>
      <c r="G819" s="111">
        <v>459.1</v>
      </c>
      <c r="H819" s="48"/>
      <c r="I819" s="118"/>
    </row>
    <row r="820" spans="1:9" s="1" customFormat="1" ht="24.75" customHeight="1">
      <c r="A820" s="39" t="s">
        <v>120</v>
      </c>
      <c r="B820" s="37" t="s">
        <v>125</v>
      </c>
      <c r="C820" s="37" t="s">
        <v>138</v>
      </c>
      <c r="D820" s="37"/>
      <c r="E820" s="38">
        <f>E824+E821</f>
        <v>31587.199999999997</v>
      </c>
      <c r="F820" s="38">
        <f>F824+F821</f>
        <v>3158</v>
      </c>
      <c r="G820" s="38">
        <f>G824+G821</f>
        <v>13399.199999999999</v>
      </c>
      <c r="H820" s="38">
        <f>H824+H821</f>
        <v>1412.4</v>
      </c>
      <c r="I820" s="117"/>
    </row>
    <row r="821" spans="1:9" s="1" customFormat="1" ht="78" customHeight="1">
      <c r="A821" s="39" t="s">
        <v>17</v>
      </c>
      <c r="B821" s="37" t="s">
        <v>125</v>
      </c>
      <c r="C821" s="37" t="s">
        <v>471</v>
      </c>
      <c r="D821" s="37"/>
      <c r="E821" s="55">
        <f aca="true" t="shared" si="37" ref="E821:H822">E822</f>
        <v>3158</v>
      </c>
      <c r="F821" s="55">
        <f t="shared" si="37"/>
        <v>3158</v>
      </c>
      <c r="G821" s="55">
        <f t="shared" si="37"/>
        <v>1412.4</v>
      </c>
      <c r="H821" s="55">
        <f t="shared" si="37"/>
        <v>1412.4</v>
      </c>
      <c r="I821" s="117"/>
    </row>
    <row r="822" spans="1:9" s="1" customFormat="1" ht="66" customHeight="1">
      <c r="A822" s="41" t="s">
        <v>344</v>
      </c>
      <c r="B822" s="37" t="s">
        <v>125</v>
      </c>
      <c r="C822" s="37" t="s">
        <v>471</v>
      </c>
      <c r="D822" s="37" t="s">
        <v>180</v>
      </c>
      <c r="E822" s="55">
        <f t="shared" si="37"/>
        <v>3158</v>
      </c>
      <c r="F822" s="55">
        <f t="shared" si="37"/>
        <v>3158</v>
      </c>
      <c r="G822" s="55">
        <f t="shared" si="37"/>
        <v>1412.4</v>
      </c>
      <c r="H822" s="55">
        <f t="shared" si="37"/>
        <v>1412.4</v>
      </c>
      <c r="I822" s="117"/>
    </row>
    <row r="823" spans="1:9" s="1" customFormat="1" ht="20.25" customHeight="1">
      <c r="A823" s="44" t="s">
        <v>346</v>
      </c>
      <c r="B823" s="37" t="s">
        <v>125</v>
      </c>
      <c r="C823" s="37" t="s">
        <v>471</v>
      </c>
      <c r="D823" s="37" t="s">
        <v>345</v>
      </c>
      <c r="E823" s="38">
        <v>3158</v>
      </c>
      <c r="F823" s="38">
        <f>E823</f>
        <v>3158</v>
      </c>
      <c r="G823" s="38">
        <v>1412.4</v>
      </c>
      <c r="H823" s="38">
        <f>G823</f>
        <v>1412.4</v>
      </c>
      <c r="I823" s="117"/>
    </row>
    <row r="824" spans="1:9" s="1" customFormat="1" ht="80.25" customHeight="1">
      <c r="A824" s="49" t="s">
        <v>69</v>
      </c>
      <c r="B824" s="37" t="s">
        <v>125</v>
      </c>
      <c r="C824" s="37" t="s">
        <v>392</v>
      </c>
      <c r="D824" s="37"/>
      <c r="E824" s="38">
        <f>E825+E827+E829</f>
        <v>28429.199999999997</v>
      </c>
      <c r="F824" s="38">
        <f>F825+F827</f>
        <v>0</v>
      </c>
      <c r="G824" s="38">
        <f>G825+G827+G829</f>
        <v>11986.8</v>
      </c>
      <c r="H824" s="38">
        <f>H825+H827</f>
        <v>0</v>
      </c>
      <c r="I824" s="117"/>
    </row>
    <row r="825" spans="1:9" s="1" customFormat="1" ht="68.25" customHeight="1">
      <c r="A825" s="40" t="s">
        <v>344</v>
      </c>
      <c r="B825" s="37" t="s">
        <v>125</v>
      </c>
      <c r="C825" s="37" t="s">
        <v>392</v>
      </c>
      <c r="D825" s="45" t="s">
        <v>180</v>
      </c>
      <c r="E825" s="38">
        <f>E826</f>
        <v>23734.8</v>
      </c>
      <c r="F825" s="38"/>
      <c r="G825" s="38">
        <f>G826</f>
        <v>10594.4</v>
      </c>
      <c r="H825" s="38"/>
      <c r="I825" s="117"/>
    </row>
    <row r="826" spans="1:9" s="1" customFormat="1" ht="24.75" customHeight="1">
      <c r="A826" s="56" t="s">
        <v>346</v>
      </c>
      <c r="B826" s="37" t="s">
        <v>125</v>
      </c>
      <c r="C826" s="37" t="s">
        <v>392</v>
      </c>
      <c r="D826" s="45" t="s">
        <v>345</v>
      </c>
      <c r="E826" s="38">
        <f>23734.8</f>
        <v>23734.8</v>
      </c>
      <c r="F826" s="38"/>
      <c r="G826" s="38">
        <v>10594.4</v>
      </c>
      <c r="H826" s="38"/>
      <c r="I826" s="117"/>
    </row>
    <row r="827" spans="1:9" s="1" customFormat="1" ht="17.25" customHeight="1">
      <c r="A827" s="44" t="s">
        <v>175</v>
      </c>
      <c r="B827" s="8" t="s">
        <v>125</v>
      </c>
      <c r="C827" s="37" t="s">
        <v>392</v>
      </c>
      <c r="D827" s="46" t="s">
        <v>174</v>
      </c>
      <c r="E827" s="55">
        <f>E828</f>
        <v>4664.4</v>
      </c>
      <c r="F827" s="55"/>
      <c r="G827" s="55">
        <f>G828</f>
        <v>1392.3</v>
      </c>
      <c r="H827" s="55"/>
      <c r="I827" s="117"/>
    </row>
    <row r="828" spans="1:9" s="1" customFormat="1" ht="31.5" customHeight="1">
      <c r="A828" s="44" t="s">
        <v>177</v>
      </c>
      <c r="B828" s="37" t="s">
        <v>125</v>
      </c>
      <c r="C828" s="37" t="s">
        <v>392</v>
      </c>
      <c r="D828" s="45" t="s">
        <v>176</v>
      </c>
      <c r="E828" s="38">
        <f>4664.4</f>
        <v>4664.4</v>
      </c>
      <c r="F828" s="38"/>
      <c r="G828" s="38">
        <v>1392.3</v>
      </c>
      <c r="H828" s="38"/>
      <c r="I828" s="117"/>
    </row>
    <row r="829" spans="1:9" s="1" customFormat="1" ht="18" customHeight="1">
      <c r="A829" s="44" t="s">
        <v>179</v>
      </c>
      <c r="B829" s="37" t="s">
        <v>125</v>
      </c>
      <c r="C829" s="37" t="s">
        <v>392</v>
      </c>
      <c r="D829" s="45" t="s">
        <v>178</v>
      </c>
      <c r="E829" s="38">
        <f>E830</f>
        <v>30</v>
      </c>
      <c r="F829" s="38"/>
      <c r="G829" s="38">
        <f>G830</f>
        <v>0.1</v>
      </c>
      <c r="H829" s="38"/>
      <c r="I829" s="117"/>
    </row>
    <row r="830" spans="1:9" s="1" customFormat="1" ht="18" customHeight="1">
      <c r="A830" s="56" t="s">
        <v>348</v>
      </c>
      <c r="B830" s="37" t="s">
        <v>125</v>
      </c>
      <c r="C830" s="37" t="s">
        <v>392</v>
      </c>
      <c r="D830" s="45" t="s">
        <v>347</v>
      </c>
      <c r="E830" s="38">
        <f>30</f>
        <v>30</v>
      </c>
      <c r="F830" s="38"/>
      <c r="G830" s="38">
        <v>0.1</v>
      </c>
      <c r="H830" s="38"/>
      <c r="I830" s="117"/>
    </row>
    <row r="831" spans="1:9" s="1" customFormat="1" ht="30.75" customHeight="1">
      <c r="A831" s="40" t="s">
        <v>418</v>
      </c>
      <c r="B831" s="37" t="s">
        <v>125</v>
      </c>
      <c r="C831" s="37" t="s">
        <v>393</v>
      </c>
      <c r="D831" s="37"/>
      <c r="E831" s="38">
        <f>E832</f>
        <v>16138.3</v>
      </c>
      <c r="F831" s="38"/>
      <c r="G831" s="38">
        <f>G832</f>
        <v>7720</v>
      </c>
      <c r="H831" s="38"/>
      <c r="I831" s="117"/>
    </row>
    <row r="832" spans="1:9" s="1" customFormat="1" ht="36" customHeight="1">
      <c r="A832" s="34" t="s">
        <v>352</v>
      </c>
      <c r="B832" s="8" t="s">
        <v>125</v>
      </c>
      <c r="C832" s="37" t="s">
        <v>393</v>
      </c>
      <c r="D832" s="37" t="s">
        <v>351</v>
      </c>
      <c r="E832" s="55">
        <f>E833</f>
        <v>16138.3</v>
      </c>
      <c r="F832" s="55"/>
      <c r="G832" s="55">
        <f>G833</f>
        <v>7720</v>
      </c>
      <c r="H832" s="55"/>
      <c r="I832" s="117"/>
    </row>
    <row r="833" spans="1:9" s="1" customFormat="1" ht="26.25" customHeight="1">
      <c r="A833" s="40" t="s">
        <v>350</v>
      </c>
      <c r="B833" s="37" t="s">
        <v>125</v>
      </c>
      <c r="C833" s="37" t="s">
        <v>393</v>
      </c>
      <c r="D833" s="37" t="s">
        <v>349</v>
      </c>
      <c r="E833" s="38">
        <f>16138.3</f>
        <v>16138.3</v>
      </c>
      <c r="F833" s="38"/>
      <c r="G833" s="38">
        <v>7720</v>
      </c>
      <c r="H833" s="38"/>
      <c r="I833" s="117"/>
    </row>
    <row r="834" spans="1:9" s="1" customFormat="1" ht="21.75" customHeight="1">
      <c r="A834" s="40" t="s">
        <v>415</v>
      </c>
      <c r="B834" s="37" t="s">
        <v>125</v>
      </c>
      <c r="C834" s="37" t="s">
        <v>394</v>
      </c>
      <c r="D834" s="37"/>
      <c r="E834" s="38">
        <f>E835</f>
        <v>2250</v>
      </c>
      <c r="F834" s="38"/>
      <c r="G834" s="38">
        <f>G835</f>
        <v>984.7</v>
      </c>
      <c r="H834" s="38"/>
      <c r="I834" s="117"/>
    </row>
    <row r="835" spans="1:9" s="1" customFormat="1" ht="28.5" customHeight="1">
      <c r="A835" s="34" t="s">
        <v>352</v>
      </c>
      <c r="B835" s="8" t="s">
        <v>125</v>
      </c>
      <c r="C835" s="37" t="s">
        <v>394</v>
      </c>
      <c r="D835" s="37" t="s">
        <v>351</v>
      </c>
      <c r="E835" s="55">
        <f>E836</f>
        <v>2250</v>
      </c>
      <c r="F835" s="55"/>
      <c r="G835" s="55">
        <f>G836</f>
        <v>984.7</v>
      </c>
      <c r="H835" s="55"/>
      <c r="I835" s="117"/>
    </row>
    <row r="836" spans="1:9" s="1" customFormat="1" ht="22.5" customHeight="1">
      <c r="A836" s="41" t="s">
        <v>350</v>
      </c>
      <c r="B836" s="8" t="s">
        <v>125</v>
      </c>
      <c r="C836" s="37" t="s">
        <v>394</v>
      </c>
      <c r="D836" s="37" t="s">
        <v>349</v>
      </c>
      <c r="E836" s="55">
        <f>2250</f>
        <v>2250</v>
      </c>
      <c r="F836" s="55"/>
      <c r="G836" s="55">
        <v>984.7</v>
      </c>
      <c r="H836" s="55"/>
      <c r="I836" s="117"/>
    </row>
    <row r="837" spans="1:9" s="1" customFormat="1" ht="75.75" customHeight="1">
      <c r="A837" s="34" t="s">
        <v>275</v>
      </c>
      <c r="B837" s="45" t="s">
        <v>125</v>
      </c>
      <c r="C837" s="35" t="s">
        <v>247</v>
      </c>
      <c r="D837" s="61"/>
      <c r="E837" s="38">
        <f>E838</f>
        <v>700</v>
      </c>
      <c r="F837" s="11"/>
      <c r="G837" s="38">
        <f>G838</f>
        <v>273.3</v>
      </c>
      <c r="H837" s="11"/>
      <c r="I837" s="117"/>
    </row>
    <row r="838" spans="1:9" s="1" customFormat="1" ht="35.25" customHeight="1">
      <c r="A838" s="44" t="s">
        <v>246</v>
      </c>
      <c r="B838" s="45" t="s">
        <v>125</v>
      </c>
      <c r="C838" s="35" t="s">
        <v>245</v>
      </c>
      <c r="D838" s="61"/>
      <c r="E838" s="38">
        <f>E839</f>
        <v>700</v>
      </c>
      <c r="F838" s="11"/>
      <c r="G838" s="38">
        <f>G839</f>
        <v>273.3</v>
      </c>
      <c r="H838" s="11"/>
      <c r="I838" s="117"/>
    </row>
    <row r="839" spans="1:9" s="1" customFormat="1" ht="22.5" customHeight="1">
      <c r="A839" s="44" t="s">
        <v>175</v>
      </c>
      <c r="B839" s="45" t="s">
        <v>125</v>
      </c>
      <c r="C839" s="35" t="s">
        <v>245</v>
      </c>
      <c r="D839" s="37" t="s">
        <v>174</v>
      </c>
      <c r="E839" s="38">
        <f>E840</f>
        <v>700</v>
      </c>
      <c r="F839" s="11"/>
      <c r="G839" s="38">
        <f>G840</f>
        <v>273.3</v>
      </c>
      <c r="H839" s="11"/>
      <c r="I839" s="117"/>
    </row>
    <row r="840" spans="1:9" s="1" customFormat="1" ht="30.75" customHeight="1">
      <c r="A840" s="44" t="s">
        <v>177</v>
      </c>
      <c r="B840" s="45" t="s">
        <v>125</v>
      </c>
      <c r="C840" s="35" t="s">
        <v>245</v>
      </c>
      <c r="D840" s="37" t="s">
        <v>176</v>
      </c>
      <c r="E840" s="38">
        <v>700</v>
      </c>
      <c r="F840" s="11"/>
      <c r="G840" s="38">
        <v>273.3</v>
      </c>
      <c r="H840" s="11"/>
      <c r="I840" s="117"/>
    </row>
    <row r="841" spans="1:9" s="1" customFormat="1" ht="17.25" customHeight="1">
      <c r="A841" s="20" t="s">
        <v>81</v>
      </c>
      <c r="B841" s="17" t="s">
        <v>127</v>
      </c>
      <c r="C841" s="17"/>
      <c r="D841" s="17"/>
      <c r="E841" s="18">
        <f>E890+E842</f>
        <v>159992.30000000002</v>
      </c>
      <c r="F841" s="18">
        <f>F890+F842</f>
        <v>5976</v>
      </c>
      <c r="G841" s="18">
        <f>G890+G842</f>
        <v>69948.7</v>
      </c>
      <c r="H841" s="18">
        <f>H890+H842</f>
        <v>1398</v>
      </c>
      <c r="I841" s="24">
        <f>G841/E841*100</f>
        <v>43.72004152699848</v>
      </c>
    </row>
    <row r="842" spans="1:9" s="1" customFormat="1" ht="18" customHeight="1">
      <c r="A842" s="57" t="s">
        <v>128</v>
      </c>
      <c r="B842" s="61" t="s">
        <v>129</v>
      </c>
      <c r="C842" s="80"/>
      <c r="D842" s="61"/>
      <c r="E842" s="11">
        <f>E843+E883</f>
        <v>149488.40000000002</v>
      </c>
      <c r="F842" s="11">
        <f>F843+F883</f>
        <v>5976</v>
      </c>
      <c r="G842" s="11">
        <f>G843+G883</f>
        <v>65312.3</v>
      </c>
      <c r="H842" s="11">
        <f>H843+H883</f>
        <v>1398</v>
      </c>
      <c r="I842" s="117"/>
    </row>
    <row r="843" spans="1:9" s="1" customFormat="1" ht="32.25" customHeight="1">
      <c r="A843" s="34" t="s">
        <v>283</v>
      </c>
      <c r="B843" s="8" t="s">
        <v>129</v>
      </c>
      <c r="C843" s="8" t="s">
        <v>375</v>
      </c>
      <c r="D843" s="36"/>
      <c r="E843" s="55">
        <f>E844+E860+E879+E872</f>
        <v>146764.2</v>
      </c>
      <c r="F843" s="55">
        <f>F844+F860+F879+F872</f>
        <v>4069</v>
      </c>
      <c r="G843" s="55">
        <f>G844+G860+G879+G872</f>
        <v>65312.3</v>
      </c>
      <c r="H843" s="55">
        <f>H844+H860+H879+H872</f>
        <v>1398</v>
      </c>
      <c r="I843" s="117"/>
    </row>
    <row r="844" spans="1:9" s="1" customFormat="1" ht="23.25" customHeight="1">
      <c r="A844" s="34" t="s">
        <v>167</v>
      </c>
      <c r="B844" s="8" t="s">
        <v>129</v>
      </c>
      <c r="C844" s="8" t="s">
        <v>395</v>
      </c>
      <c r="D844" s="36"/>
      <c r="E844" s="55">
        <f>E848+E851+E854+E857+E845</f>
        <v>46308.7</v>
      </c>
      <c r="F844" s="55">
        <f>F848+F851+F854+F857+F845</f>
        <v>300</v>
      </c>
      <c r="G844" s="55">
        <f>G848+G851+G854+G857+G845</f>
        <v>20984.100000000002</v>
      </c>
      <c r="H844" s="55">
        <f>H848+H851+H854+H857+H845</f>
        <v>0</v>
      </c>
      <c r="I844" s="117"/>
    </row>
    <row r="845" spans="1:9" s="1" customFormat="1" ht="47.25" customHeight="1">
      <c r="A845" s="49" t="s">
        <v>597</v>
      </c>
      <c r="B845" s="8" t="s">
        <v>129</v>
      </c>
      <c r="C845" s="37" t="s">
        <v>650</v>
      </c>
      <c r="D845" s="35"/>
      <c r="E845" s="42">
        <f aca="true" t="shared" si="38" ref="E845:H846">E846</f>
        <v>300</v>
      </c>
      <c r="F845" s="42">
        <f t="shared" si="38"/>
        <v>300</v>
      </c>
      <c r="G845" s="42">
        <f t="shared" si="38"/>
        <v>0</v>
      </c>
      <c r="H845" s="42">
        <f t="shared" si="38"/>
        <v>0</v>
      </c>
      <c r="I845" s="117"/>
    </row>
    <row r="846" spans="1:9" s="1" customFormat="1" ht="33" customHeight="1">
      <c r="A846" s="58" t="s">
        <v>352</v>
      </c>
      <c r="B846" s="8" t="s">
        <v>129</v>
      </c>
      <c r="C846" s="37" t="s">
        <v>650</v>
      </c>
      <c r="D846" s="35" t="s">
        <v>351</v>
      </c>
      <c r="E846" s="42">
        <f t="shared" si="38"/>
        <v>300</v>
      </c>
      <c r="F846" s="42">
        <f t="shared" si="38"/>
        <v>300</v>
      </c>
      <c r="G846" s="42">
        <f t="shared" si="38"/>
        <v>0</v>
      </c>
      <c r="H846" s="42">
        <f t="shared" si="38"/>
        <v>0</v>
      </c>
      <c r="I846" s="117"/>
    </row>
    <row r="847" spans="1:9" s="1" customFormat="1" ht="23.25" customHeight="1">
      <c r="A847" s="40" t="s">
        <v>350</v>
      </c>
      <c r="B847" s="8" t="s">
        <v>129</v>
      </c>
      <c r="C847" s="37" t="s">
        <v>650</v>
      </c>
      <c r="D847" s="35" t="s">
        <v>349</v>
      </c>
      <c r="E847" s="42">
        <v>300</v>
      </c>
      <c r="F847" s="42">
        <f>E847</f>
        <v>300</v>
      </c>
      <c r="G847" s="42">
        <v>0</v>
      </c>
      <c r="H847" s="42">
        <f>G847</f>
        <v>0</v>
      </c>
      <c r="I847" s="117"/>
    </row>
    <row r="848" spans="1:9" s="1" customFormat="1" ht="19.5" customHeight="1">
      <c r="A848" s="49" t="s">
        <v>424</v>
      </c>
      <c r="B848" s="35" t="s">
        <v>129</v>
      </c>
      <c r="C848" s="37" t="s">
        <v>396</v>
      </c>
      <c r="D848" s="35"/>
      <c r="E848" s="38">
        <f>E849</f>
        <v>34550.2</v>
      </c>
      <c r="F848" s="38"/>
      <c r="G848" s="38">
        <f>G849</f>
        <v>16516.9</v>
      </c>
      <c r="H848" s="38"/>
      <c r="I848" s="117"/>
    </row>
    <row r="849" spans="1:9" s="1" customFormat="1" ht="33.75" customHeight="1">
      <c r="A849" s="34" t="s">
        <v>352</v>
      </c>
      <c r="B849" s="8" t="s">
        <v>129</v>
      </c>
      <c r="C849" s="37" t="s">
        <v>396</v>
      </c>
      <c r="D849" s="36" t="s">
        <v>351</v>
      </c>
      <c r="E849" s="55">
        <f>E850</f>
        <v>34550.2</v>
      </c>
      <c r="F849" s="55"/>
      <c r="G849" s="55">
        <f>G850</f>
        <v>16516.9</v>
      </c>
      <c r="H849" s="55"/>
      <c r="I849" s="117"/>
    </row>
    <row r="850" spans="1:9" s="1" customFormat="1" ht="27" customHeight="1">
      <c r="A850" s="41" t="s">
        <v>350</v>
      </c>
      <c r="B850" s="8" t="s">
        <v>129</v>
      </c>
      <c r="C850" s="37" t="s">
        <v>396</v>
      </c>
      <c r="D850" s="36" t="s">
        <v>349</v>
      </c>
      <c r="E850" s="55">
        <f>31787.3-557.6+3320.5</f>
        <v>34550.2</v>
      </c>
      <c r="F850" s="55"/>
      <c r="G850" s="55">
        <v>16516.9</v>
      </c>
      <c r="H850" s="55"/>
      <c r="I850" s="117"/>
    </row>
    <row r="851" spans="1:9" s="1" customFormat="1" ht="37.5" customHeight="1">
      <c r="A851" s="40" t="s">
        <v>170</v>
      </c>
      <c r="B851" s="37" t="s">
        <v>129</v>
      </c>
      <c r="C851" s="37" t="s">
        <v>442</v>
      </c>
      <c r="D851" s="35"/>
      <c r="E851" s="38">
        <f>E852</f>
        <v>1500</v>
      </c>
      <c r="F851" s="38"/>
      <c r="G851" s="38">
        <f>G852</f>
        <v>900</v>
      </c>
      <c r="H851" s="38"/>
      <c r="I851" s="117"/>
    </row>
    <row r="852" spans="1:9" s="1" customFormat="1" ht="36" customHeight="1">
      <c r="A852" s="34" t="s">
        <v>352</v>
      </c>
      <c r="B852" s="8" t="s">
        <v>129</v>
      </c>
      <c r="C852" s="37" t="s">
        <v>442</v>
      </c>
      <c r="D852" s="36" t="s">
        <v>351</v>
      </c>
      <c r="E852" s="55">
        <f>E853</f>
        <v>1500</v>
      </c>
      <c r="F852" s="55"/>
      <c r="G852" s="55">
        <f>G853</f>
        <v>900</v>
      </c>
      <c r="H852" s="55"/>
      <c r="I852" s="117"/>
    </row>
    <row r="853" spans="1:9" s="1" customFormat="1" ht="19.5" customHeight="1">
      <c r="A853" s="41" t="s">
        <v>350</v>
      </c>
      <c r="B853" s="8" t="s">
        <v>129</v>
      </c>
      <c r="C853" s="37" t="s">
        <v>442</v>
      </c>
      <c r="D853" s="36" t="s">
        <v>349</v>
      </c>
      <c r="E853" s="55">
        <f>1500</f>
        <v>1500</v>
      </c>
      <c r="F853" s="55"/>
      <c r="G853" s="55">
        <v>900</v>
      </c>
      <c r="H853" s="55"/>
      <c r="I853" s="117"/>
    </row>
    <row r="854" spans="1:9" s="1" customFormat="1" ht="22.5" customHeight="1">
      <c r="A854" s="40" t="s">
        <v>411</v>
      </c>
      <c r="B854" s="37" t="s">
        <v>129</v>
      </c>
      <c r="C854" s="37" t="s">
        <v>397</v>
      </c>
      <c r="D854" s="35"/>
      <c r="E854" s="38">
        <f>E855</f>
        <v>880</v>
      </c>
      <c r="F854" s="38"/>
      <c r="G854" s="38">
        <f>G855</f>
        <v>281.9</v>
      </c>
      <c r="H854" s="38"/>
      <c r="I854" s="117"/>
    </row>
    <row r="855" spans="1:9" s="1" customFormat="1" ht="32.25" customHeight="1">
      <c r="A855" s="58" t="s">
        <v>352</v>
      </c>
      <c r="B855" s="37" t="s">
        <v>129</v>
      </c>
      <c r="C855" s="37" t="s">
        <v>397</v>
      </c>
      <c r="D855" s="35" t="s">
        <v>351</v>
      </c>
      <c r="E855" s="38">
        <f>E856</f>
        <v>880</v>
      </c>
      <c r="F855" s="38"/>
      <c r="G855" s="38">
        <f>G856</f>
        <v>281.9</v>
      </c>
      <c r="H855" s="38"/>
      <c r="I855" s="117"/>
    </row>
    <row r="856" spans="1:9" s="1" customFormat="1" ht="24.75" customHeight="1">
      <c r="A856" s="41" t="s">
        <v>350</v>
      </c>
      <c r="B856" s="8" t="s">
        <v>129</v>
      </c>
      <c r="C856" s="37" t="s">
        <v>397</v>
      </c>
      <c r="D856" s="36" t="s">
        <v>349</v>
      </c>
      <c r="E856" s="55">
        <f>880</f>
        <v>880</v>
      </c>
      <c r="F856" s="55"/>
      <c r="G856" s="55">
        <v>281.9</v>
      </c>
      <c r="H856" s="55"/>
      <c r="I856" s="117"/>
    </row>
    <row r="857" spans="1:9" s="1" customFormat="1" ht="34.5" customHeight="1">
      <c r="A857" s="44" t="s">
        <v>201</v>
      </c>
      <c r="B857" s="46" t="s">
        <v>129</v>
      </c>
      <c r="C857" s="37" t="s">
        <v>241</v>
      </c>
      <c r="D857" s="68"/>
      <c r="E857" s="51">
        <f>E858</f>
        <v>9078.5</v>
      </c>
      <c r="F857" s="51"/>
      <c r="G857" s="51">
        <f>G858</f>
        <v>3285.3</v>
      </c>
      <c r="H857" s="51"/>
      <c r="I857" s="117"/>
    </row>
    <row r="858" spans="1:9" s="1" customFormat="1" ht="30.75" customHeight="1">
      <c r="A858" s="58" t="s">
        <v>352</v>
      </c>
      <c r="B858" s="46" t="s">
        <v>129</v>
      </c>
      <c r="C858" s="37" t="s">
        <v>241</v>
      </c>
      <c r="D858" s="68" t="s">
        <v>351</v>
      </c>
      <c r="E858" s="51">
        <f>E859</f>
        <v>9078.5</v>
      </c>
      <c r="F858" s="51"/>
      <c r="G858" s="51">
        <f>G859</f>
        <v>3285.3</v>
      </c>
      <c r="H858" s="51"/>
      <c r="I858" s="117"/>
    </row>
    <row r="859" spans="1:9" s="1" customFormat="1" ht="22.5" customHeight="1">
      <c r="A859" s="41" t="s">
        <v>350</v>
      </c>
      <c r="B859" s="46" t="s">
        <v>129</v>
      </c>
      <c r="C859" s="37" t="s">
        <v>241</v>
      </c>
      <c r="D859" s="68" t="s">
        <v>349</v>
      </c>
      <c r="E859" s="51">
        <f>9078.5</f>
        <v>9078.5</v>
      </c>
      <c r="F859" s="51"/>
      <c r="G859" s="51">
        <v>3285.3</v>
      </c>
      <c r="H859" s="51"/>
      <c r="I859" s="117"/>
    </row>
    <row r="860" spans="1:9" s="1" customFormat="1" ht="48" customHeight="1">
      <c r="A860" s="41" t="s">
        <v>3</v>
      </c>
      <c r="B860" s="8" t="s">
        <v>129</v>
      </c>
      <c r="C860" s="8" t="s">
        <v>398</v>
      </c>
      <c r="D860" s="36"/>
      <c r="E860" s="55">
        <f>E861+E864+E869</f>
        <v>92333.5</v>
      </c>
      <c r="F860" s="55">
        <f>F861+F864</f>
        <v>0</v>
      </c>
      <c r="G860" s="55">
        <f>G861+G864+G869</f>
        <v>41596.4</v>
      </c>
      <c r="H860" s="55">
        <f>H861+H864</f>
        <v>0</v>
      </c>
      <c r="I860" s="117"/>
    </row>
    <row r="861" spans="1:9" s="1" customFormat="1" ht="21.75" customHeight="1">
      <c r="A861" s="39" t="s">
        <v>425</v>
      </c>
      <c r="B861" s="8" t="s">
        <v>129</v>
      </c>
      <c r="C861" s="8" t="s">
        <v>399</v>
      </c>
      <c r="D861" s="36"/>
      <c r="E861" s="55">
        <f>E862</f>
        <v>64174.4</v>
      </c>
      <c r="F861" s="55"/>
      <c r="G861" s="55">
        <f>G862</f>
        <v>29350</v>
      </c>
      <c r="H861" s="55"/>
      <c r="I861" s="117"/>
    </row>
    <row r="862" spans="1:9" s="1" customFormat="1" ht="30" customHeight="1">
      <c r="A862" s="58" t="s">
        <v>352</v>
      </c>
      <c r="B862" s="37" t="s">
        <v>129</v>
      </c>
      <c r="C862" s="37" t="s">
        <v>399</v>
      </c>
      <c r="D862" s="35" t="s">
        <v>351</v>
      </c>
      <c r="E862" s="38">
        <f>E863</f>
        <v>64174.4</v>
      </c>
      <c r="F862" s="38"/>
      <c r="G862" s="38">
        <f>G863</f>
        <v>29350</v>
      </c>
      <c r="H862" s="38"/>
      <c r="I862" s="117"/>
    </row>
    <row r="863" spans="1:9" s="1" customFormat="1" ht="22.5" customHeight="1">
      <c r="A863" s="40" t="s">
        <v>350</v>
      </c>
      <c r="B863" s="37" t="s">
        <v>129</v>
      </c>
      <c r="C863" s="8" t="s">
        <v>399</v>
      </c>
      <c r="D863" s="35" t="s">
        <v>349</v>
      </c>
      <c r="E863" s="38">
        <f>61135.3-945.4+3984.5</f>
        <v>64174.4</v>
      </c>
      <c r="F863" s="38"/>
      <c r="G863" s="38">
        <v>29350</v>
      </c>
      <c r="H863" s="38"/>
      <c r="I863" s="117"/>
    </row>
    <row r="864" spans="1:9" s="1" customFormat="1" ht="21" customHeight="1">
      <c r="A864" s="41" t="s">
        <v>426</v>
      </c>
      <c r="B864" s="8" t="s">
        <v>129</v>
      </c>
      <c r="C864" s="8" t="s">
        <v>400</v>
      </c>
      <c r="D864" s="36"/>
      <c r="E864" s="55">
        <f>E867+E865</f>
        <v>24159.1</v>
      </c>
      <c r="F864" s="55"/>
      <c r="G864" s="55">
        <f>G867+G865</f>
        <v>12246.4</v>
      </c>
      <c r="H864" s="55"/>
      <c r="I864" s="117"/>
    </row>
    <row r="865" spans="1:9" s="1" customFormat="1" ht="24" customHeight="1">
      <c r="A865" s="44" t="s">
        <v>175</v>
      </c>
      <c r="B865" s="8" t="s">
        <v>129</v>
      </c>
      <c r="C865" s="8" t="s">
        <v>400</v>
      </c>
      <c r="D865" s="36" t="s">
        <v>174</v>
      </c>
      <c r="E865" s="55">
        <f>E866</f>
        <v>1641</v>
      </c>
      <c r="F865" s="55"/>
      <c r="G865" s="55">
        <f>G866</f>
        <v>746.4</v>
      </c>
      <c r="H865" s="55"/>
      <c r="I865" s="117"/>
    </row>
    <row r="866" spans="1:9" s="1" customFormat="1" ht="32.25" customHeight="1">
      <c r="A866" s="44" t="s">
        <v>177</v>
      </c>
      <c r="B866" s="8" t="s">
        <v>129</v>
      </c>
      <c r="C866" s="8" t="s">
        <v>400</v>
      </c>
      <c r="D866" s="36" t="s">
        <v>176</v>
      </c>
      <c r="E866" s="55">
        <f>800+1141-300</f>
        <v>1641</v>
      </c>
      <c r="F866" s="55"/>
      <c r="G866" s="55">
        <v>746.4</v>
      </c>
      <c r="H866" s="55"/>
      <c r="I866" s="117"/>
    </row>
    <row r="867" spans="1:9" s="1" customFormat="1" ht="34.5" customHeight="1">
      <c r="A867" s="34" t="s">
        <v>352</v>
      </c>
      <c r="B867" s="8" t="s">
        <v>129</v>
      </c>
      <c r="C867" s="8" t="s">
        <v>400</v>
      </c>
      <c r="D867" s="36" t="s">
        <v>351</v>
      </c>
      <c r="E867" s="55">
        <f>E868</f>
        <v>22518.1</v>
      </c>
      <c r="F867" s="55"/>
      <c r="G867" s="55">
        <f>G868</f>
        <v>11500</v>
      </c>
      <c r="H867" s="55"/>
      <c r="I867" s="117"/>
    </row>
    <row r="868" spans="1:9" s="1" customFormat="1" ht="21.75" customHeight="1">
      <c r="A868" s="40" t="s">
        <v>350</v>
      </c>
      <c r="B868" s="37" t="s">
        <v>129</v>
      </c>
      <c r="C868" s="8" t="s">
        <v>400</v>
      </c>
      <c r="D868" s="35" t="s">
        <v>349</v>
      </c>
      <c r="E868" s="38">
        <f>23335.3-817.2</f>
        <v>22518.1</v>
      </c>
      <c r="F868" s="38"/>
      <c r="G868" s="38">
        <v>11500</v>
      </c>
      <c r="H868" s="38"/>
      <c r="I868" s="117"/>
    </row>
    <row r="869" spans="1:9" s="1" customFormat="1" ht="58.5" customHeight="1">
      <c r="A869" s="41" t="s">
        <v>725</v>
      </c>
      <c r="B869" s="37" t="s">
        <v>129</v>
      </c>
      <c r="C869" s="8" t="s">
        <v>706</v>
      </c>
      <c r="D869" s="36"/>
      <c r="E869" s="55">
        <f>E870</f>
        <v>4000</v>
      </c>
      <c r="F869" s="55"/>
      <c r="G869" s="55">
        <f>G870</f>
        <v>0</v>
      </c>
      <c r="H869" s="55"/>
      <c r="I869" s="117"/>
    </row>
    <row r="870" spans="1:9" s="1" customFormat="1" ht="21.75" customHeight="1">
      <c r="A870" s="56" t="s">
        <v>179</v>
      </c>
      <c r="B870" s="37" t="s">
        <v>129</v>
      </c>
      <c r="C870" s="8" t="s">
        <v>706</v>
      </c>
      <c r="D870" s="36" t="s">
        <v>178</v>
      </c>
      <c r="E870" s="55">
        <f>E871</f>
        <v>4000</v>
      </c>
      <c r="F870" s="55"/>
      <c r="G870" s="55">
        <f>G871</f>
        <v>0</v>
      </c>
      <c r="H870" s="55"/>
      <c r="I870" s="117"/>
    </row>
    <row r="871" spans="1:9" s="1" customFormat="1" ht="47.25" customHeight="1">
      <c r="A871" s="40" t="s">
        <v>304</v>
      </c>
      <c r="B871" s="37" t="s">
        <v>129</v>
      </c>
      <c r="C871" s="8" t="s">
        <v>706</v>
      </c>
      <c r="D871" s="36" t="s">
        <v>51</v>
      </c>
      <c r="E871" s="55">
        <f>4000</f>
        <v>4000</v>
      </c>
      <c r="F871" s="55"/>
      <c r="G871" s="55">
        <v>0</v>
      </c>
      <c r="H871" s="55"/>
      <c r="I871" s="117"/>
    </row>
    <row r="872" spans="1:9" s="1" customFormat="1" ht="60.75" customHeight="1">
      <c r="A872" s="41" t="s">
        <v>644</v>
      </c>
      <c r="B872" s="8" t="s">
        <v>129</v>
      </c>
      <c r="C872" s="8" t="s">
        <v>501</v>
      </c>
      <c r="D872" s="36"/>
      <c r="E872" s="55">
        <f>E873+E876</f>
        <v>5272</v>
      </c>
      <c r="F872" s="55">
        <f aca="true" t="shared" si="39" ref="E872:H874">F873</f>
        <v>3769</v>
      </c>
      <c r="G872" s="55">
        <f>G873+G876</f>
        <v>1398</v>
      </c>
      <c r="H872" s="55">
        <f t="shared" si="39"/>
        <v>1398</v>
      </c>
      <c r="I872" s="117"/>
    </row>
    <row r="873" spans="1:9" s="1" customFormat="1" ht="44.25" customHeight="1">
      <c r="A873" s="41" t="s">
        <v>503</v>
      </c>
      <c r="B873" s="8" t="s">
        <v>129</v>
      </c>
      <c r="C873" s="8" t="s">
        <v>502</v>
      </c>
      <c r="D873" s="36"/>
      <c r="E873" s="55">
        <f t="shared" si="39"/>
        <v>3769</v>
      </c>
      <c r="F873" s="55">
        <f t="shared" si="39"/>
        <v>3769</v>
      </c>
      <c r="G873" s="55">
        <f t="shared" si="39"/>
        <v>1398</v>
      </c>
      <c r="H873" s="55">
        <f t="shared" si="39"/>
        <v>1398</v>
      </c>
      <c r="I873" s="117"/>
    </row>
    <row r="874" spans="1:9" s="1" customFormat="1" ht="30" customHeight="1">
      <c r="A874" s="34" t="s">
        <v>352</v>
      </c>
      <c r="B874" s="8" t="s">
        <v>129</v>
      </c>
      <c r="C874" s="8" t="s">
        <v>502</v>
      </c>
      <c r="D874" s="36" t="s">
        <v>351</v>
      </c>
      <c r="E874" s="55">
        <f t="shared" si="39"/>
        <v>3769</v>
      </c>
      <c r="F874" s="55">
        <f t="shared" si="39"/>
        <v>3769</v>
      </c>
      <c r="G874" s="55">
        <f t="shared" si="39"/>
        <v>1398</v>
      </c>
      <c r="H874" s="55">
        <f t="shared" si="39"/>
        <v>1398</v>
      </c>
      <c r="I874" s="117"/>
    </row>
    <row r="875" spans="1:9" s="1" customFormat="1" ht="21.75" customHeight="1">
      <c r="A875" s="41" t="s">
        <v>350</v>
      </c>
      <c r="B875" s="8" t="s">
        <v>129</v>
      </c>
      <c r="C875" s="8" t="s">
        <v>502</v>
      </c>
      <c r="D875" s="36" t="s">
        <v>349</v>
      </c>
      <c r="E875" s="55">
        <v>3769</v>
      </c>
      <c r="F875" s="55">
        <v>3769</v>
      </c>
      <c r="G875" s="55">
        <v>1398</v>
      </c>
      <c r="H875" s="55">
        <f>G875</f>
        <v>1398</v>
      </c>
      <c r="I875" s="117"/>
    </row>
    <row r="876" spans="1:9" s="1" customFormat="1" ht="41.25" customHeight="1">
      <c r="A876" s="41" t="s">
        <v>456</v>
      </c>
      <c r="B876" s="8" t="s">
        <v>129</v>
      </c>
      <c r="C876" s="8" t="s">
        <v>510</v>
      </c>
      <c r="D876" s="36"/>
      <c r="E876" s="55">
        <f>E877</f>
        <v>1503</v>
      </c>
      <c r="F876" s="55"/>
      <c r="G876" s="55">
        <f>G877</f>
        <v>0</v>
      </c>
      <c r="H876" s="55"/>
      <c r="I876" s="117"/>
    </row>
    <row r="877" spans="1:9" s="1" customFormat="1" ht="32.25" customHeight="1">
      <c r="A877" s="34" t="s">
        <v>352</v>
      </c>
      <c r="B877" s="8" t="s">
        <v>129</v>
      </c>
      <c r="C877" s="8" t="s">
        <v>510</v>
      </c>
      <c r="D877" s="36" t="s">
        <v>351</v>
      </c>
      <c r="E877" s="55">
        <f>E878</f>
        <v>1503</v>
      </c>
      <c r="F877" s="55"/>
      <c r="G877" s="55">
        <f>G878</f>
        <v>0</v>
      </c>
      <c r="H877" s="55"/>
      <c r="I877" s="117"/>
    </row>
    <row r="878" spans="1:9" s="1" customFormat="1" ht="21.75" customHeight="1">
      <c r="A878" s="41" t="s">
        <v>350</v>
      </c>
      <c r="B878" s="8" t="s">
        <v>129</v>
      </c>
      <c r="C878" s="8" t="s">
        <v>510</v>
      </c>
      <c r="D878" s="36" t="s">
        <v>349</v>
      </c>
      <c r="E878" s="55">
        <f>945.4+557.6</f>
        <v>1503</v>
      </c>
      <c r="F878" s="55"/>
      <c r="G878" s="55">
        <v>0</v>
      </c>
      <c r="H878" s="55"/>
      <c r="I878" s="117"/>
    </row>
    <row r="879" spans="1:9" s="1" customFormat="1" ht="19.5" customHeight="1">
      <c r="A879" s="41" t="s">
        <v>48</v>
      </c>
      <c r="B879" s="8" t="s">
        <v>129</v>
      </c>
      <c r="C879" s="8" t="s">
        <v>401</v>
      </c>
      <c r="D879" s="36"/>
      <c r="E879" s="55">
        <f>E880</f>
        <v>2850</v>
      </c>
      <c r="F879" s="55">
        <f>F880</f>
        <v>0</v>
      </c>
      <c r="G879" s="55">
        <f>G880</f>
        <v>1333.8</v>
      </c>
      <c r="H879" s="55">
        <f>H880</f>
        <v>0</v>
      </c>
      <c r="I879" s="117"/>
    </row>
    <row r="880" spans="1:9" s="1" customFormat="1" ht="23.25" customHeight="1">
      <c r="A880" s="41" t="s">
        <v>265</v>
      </c>
      <c r="B880" s="8" t="s">
        <v>129</v>
      </c>
      <c r="C880" s="8" t="s">
        <v>402</v>
      </c>
      <c r="D880" s="36"/>
      <c r="E880" s="55">
        <f>E881</f>
        <v>2850</v>
      </c>
      <c r="F880" s="55"/>
      <c r="G880" s="55">
        <f>G881</f>
        <v>1333.8</v>
      </c>
      <c r="H880" s="55"/>
      <c r="I880" s="117"/>
    </row>
    <row r="881" spans="1:9" s="1" customFormat="1" ht="23.25" customHeight="1">
      <c r="A881" s="44" t="s">
        <v>175</v>
      </c>
      <c r="B881" s="8" t="s">
        <v>129</v>
      </c>
      <c r="C881" s="8" t="s">
        <v>402</v>
      </c>
      <c r="D881" s="36" t="s">
        <v>174</v>
      </c>
      <c r="E881" s="55">
        <f>E882</f>
        <v>2850</v>
      </c>
      <c r="F881" s="55"/>
      <c r="G881" s="55">
        <f>G882</f>
        <v>1333.8</v>
      </c>
      <c r="H881" s="55"/>
      <c r="I881" s="117"/>
    </row>
    <row r="882" spans="1:9" s="1" customFormat="1" ht="35.25" customHeight="1">
      <c r="A882" s="44" t="s">
        <v>177</v>
      </c>
      <c r="B882" s="8" t="s">
        <v>129</v>
      </c>
      <c r="C882" s="8" t="s">
        <v>402</v>
      </c>
      <c r="D882" s="36" t="s">
        <v>176</v>
      </c>
      <c r="E882" s="55">
        <f>1200+150+1500</f>
        <v>2850</v>
      </c>
      <c r="F882" s="55"/>
      <c r="G882" s="55">
        <v>1333.8</v>
      </c>
      <c r="H882" s="55"/>
      <c r="I882" s="117"/>
    </row>
    <row r="883" spans="1:9" s="1" customFormat="1" ht="21" customHeight="1">
      <c r="A883" s="78" t="s">
        <v>253</v>
      </c>
      <c r="B883" s="8" t="s">
        <v>129</v>
      </c>
      <c r="C883" s="37" t="s">
        <v>381</v>
      </c>
      <c r="D883" s="35"/>
      <c r="E883" s="38">
        <f>E887+E884</f>
        <v>2724.2</v>
      </c>
      <c r="F883" s="38">
        <f>F887+F884</f>
        <v>1907</v>
      </c>
      <c r="G883" s="38">
        <f>G887+G884</f>
        <v>0</v>
      </c>
      <c r="H883" s="38">
        <f>H887+H884</f>
        <v>0</v>
      </c>
      <c r="I883" s="117"/>
    </row>
    <row r="884" spans="1:9" s="1" customFormat="1" ht="60.75" customHeight="1">
      <c r="A884" s="44" t="s">
        <v>677</v>
      </c>
      <c r="B884" s="8" t="s">
        <v>129</v>
      </c>
      <c r="C884" s="8" t="s">
        <v>676</v>
      </c>
      <c r="D884" s="36"/>
      <c r="E884" s="55">
        <f aca="true" t="shared" si="40" ref="E884:H885">E885</f>
        <v>1907</v>
      </c>
      <c r="F884" s="55">
        <f t="shared" si="40"/>
        <v>1907</v>
      </c>
      <c r="G884" s="55">
        <f t="shared" si="40"/>
        <v>0</v>
      </c>
      <c r="H884" s="55">
        <f t="shared" si="40"/>
        <v>0</v>
      </c>
      <c r="I884" s="117"/>
    </row>
    <row r="885" spans="1:9" s="1" customFormat="1" ht="30" customHeight="1">
      <c r="A885" s="34" t="s">
        <v>352</v>
      </c>
      <c r="B885" s="8" t="s">
        <v>129</v>
      </c>
      <c r="C885" s="8" t="s">
        <v>676</v>
      </c>
      <c r="D885" s="36" t="s">
        <v>351</v>
      </c>
      <c r="E885" s="55">
        <f t="shared" si="40"/>
        <v>1907</v>
      </c>
      <c r="F885" s="55">
        <f t="shared" si="40"/>
        <v>1907</v>
      </c>
      <c r="G885" s="55">
        <f t="shared" si="40"/>
        <v>0</v>
      </c>
      <c r="H885" s="55">
        <f t="shared" si="40"/>
        <v>0</v>
      </c>
      <c r="I885" s="117"/>
    </row>
    <row r="886" spans="1:9" s="1" customFormat="1" ht="21" customHeight="1">
      <c r="A886" s="41" t="s">
        <v>350</v>
      </c>
      <c r="B886" s="8" t="s">
        <v>129</v>
      </c>
      <c r="C886" s="8" t="s">
        <v>676</v>
      </c>
      <c r="D886" s="36" t="s">
        <v>349</v>
      </c>
      <c r="E886" s="55">
        <f>1907</f>
        <v>1907</v>
      </c>
      <c r="F886" s="55">
        <f>1907</f>
        <v>1907</v>
      </c>
      <c r="G886" s="55">
        <v>0</v>
      </c>
      <c r="H886" s="55"/>
      <c r="I886" s="117"/>
    </row>
    <row r="887" spans="1:9" s="1" customFormat="1" ht="60.75" customHeight="1">
      <c r="A887" s="44" t="s">
        <v>545</v>
      </c>
      <c r="B887" s="8" t="s">
        <v>129</v>
      </c>
      <c r="C887" s="8" t="s">
        <v>546</v>
      </c>
      <c r="D887" s="36"/>
      <c r="E887" s="55">
        <f>E888</f>
        <v>817.2</v>
      </c>
      <c r="F887" s="55"/>
      <c r="G887" s="55">
        <f>G888</f>
        <v>0</v>
      </c>
      <c r="H887" s="55"/>
      <c r="I887" s="117"/>
    </row>
    <row r="888" spans="1:9" s="1" customFormat="1" ht="35.25" customHeight="1">
      <c r="A888" s="34" t="s">
        <v>352</v>
      </c>
      <c r="B888" s="8" t="s">
        <v>129</v>
      </c>
      <c r="C888" s="8" t="s">
        <v>546</v>
      </c>
      <c r="D888" s="36" t="s">
        <v>351</v>
      </c>
      <c r="E888" s="55">
        <f>E889</f>
        <v>817.2</v>
      </c>
      <c r="F888" s="55"/>
      <c r="G888" s="55">
        <f>G889</f>
        <v>0</v>
      </c>
      <c r="H888" s="55"/>
      <c r="I888" s="117"/>
    </row>
    <row r="889" spans="1:9" s="1" customFormat="1" ht="24.75" customHeight="1">
      <c r="A889" s="41" t="s">
        <v>350</v>
      </c>
      <c r="B889" s="8" t="s">
        <v>129</v>
      </c>
      <c r="C889" s="8" t="s">
        <v>546</v>
      </c>
      <c r="D889" s="36" t="s">
        <v>349</v>
      </c>
      <c r="E889" s="55">
        <f>817.2</f>
        <v>817.2</v>
      </c>
      <c r="F889" s="55"/>
      <c r="G889" s="55">
        <v>0</v>
      </c>
      <c r="H889" s="55"/>
      <c r="I889" s="117"/>
    </row>
    <row r="890" spans="1:9" s="1" customFormat="1" ht="13.5">
      <c r="A890" s="47" t="s">
        <v>54</v>
      </c>
      <c r="B890" s="83" t="s">
        <v>55</v>
      </c>
      <c r="C890" s="84"/>
      <c r="D890" s="83"/>
      <c r="E890" s="10">
        <f>E891</f>
        <v>10503.9</v>
      </c>
      <c r="F890" s="10"/>
      <c r="G890" s="10">
        <f>G891</f>
        <v>4636.400000000001</v>
      </c>
      <c r="H890" s="10"/>
      <c r="I890" s="117"/>
    </row>
    <row r="891" spans="1:9" s="1" customFormat="1" ht="21" customHeight="1">
      <c r="A891" s="41" t="s">
        <v>168</v>
      </c>
      <c r="B891" s="36" t="s">
        <v>55</v>
      </c>
      <c r="C891" s="8" t="s">
        <v>403</v>
      </c>
      <c r="D891" s="36"/>
      <c r="E891" s="55">
        <f>E892</f>
        <v>10503.9</v>
      </c>
      <c r="F891" s="55"/>
      <c r="G891" s="55">
        <f>G892</f>
        <v>4636.400000000001</v>
      </c>
      <c r="H891" s="55"/>
      <c r="I891" s="117"/>
    </row>
    <row r="892" spans="1:9" s="1" customFormat="1" ht="68.25" customHeight="1">
      <c r="A892" s="49" t="s">
        <v>126</v>
      </c>
      <c r="B892" s="35" t="s">
        <v>55</v>
      </c>
      <c r="C892" s="37" t="s">
        <v>404</v>
      </c>
      <c r="D892" s="37"/>
      <c r="E892" s="38">
        <f>E893+E895+E897</f>
        <v>10503.9</v>
      </c>
      <c r="F892" s="38"/>
      <c r="G892" s="38">
        <f>G893+G895+G897</f>
        <v>4636.400000000001</v>
      </c>
      <c r="H892" s="38"/>
      <c r="I892" s="117"/>
    </row>
    <row r="893" spans="1:9" s="1" customFormat="1" ht="66" customHeight="1">
      <c r="A893" s="40" t="s">
        <v>344</v>
      </c>
      <c r="B893" s="35" t="s">
        <v>55</v>
      </c>
      <c r="C893" s="37" t="s">
        <v>404</v>
      </c>
      <c r="D893" s="37" t="s">
        <v>180</v>
      </c>
      <c r="E893" s="38">
        <f>E894</f>
        <v>9385.8</v>
      </c>
      <c r="F893" s="38"/>
      <c r="G893" s="38">
        <f>G894</f>
        <v>4077.9</v>
      </c>
      <c r="H893" s="38"/>
      <c r="I893" s="117"/>
    </row>
    <row r="894" spans="1:9" s="1" customFormat="1" ht="24" customHeight="1">
      <c r="A894" s="40" t="s">
        <v>346</v>
      </c>
      <c r="B894" s="35" t="s">
        <v>55</v>
      </c>
      <c r="C894" s="37" t="s">
        <v>404</v>
      </c>
      <c r="D894" s="37" t="s">
        <v>345</v>
      </c>
      <c r="E894" s="38">
        <f>9385.8</f>
        <v>9385.8</v>
      </c>
      <c r="F894" s="38"/>
      <c r="G894" s="38">
        <v>4077.9</v>
      </c>
      <c r="H894" s="38"/>
      <c r="I894" s="117"/>
    </row>
    <row r="895" spans="1:9" s="1" customFormat="1" ht="21.75" customHeight="1">
      <c r="A895" s="44" t="s">
        <v>175</v>
      </c>
      <c r="B895" s="36" t="s">
        <v>55</v>
      </c>
      <c r="C895" s="37" t="s">
        <v>404</v>
      </c>
      <c r="D895" s="8" t="s">
        <v>174</v>
      </c>
      <c r="E895" s="55">
        <f>E896</f>
        <v>1115.1</v>
      </c>
      <c r="F895" s="55"/>
      <c r="G895" s="55">
        <f>G896</f>
        <v>557.9</v>
      </c>
      <c r="H895" s="55"/>
      <c r="I895" s="117"/>
    </row>
    <row r="896" spans="1:9" s="1" customFormat="1" ht="30.75" customHeight="1">
      <c r="A896" s="56" t="s">
        <v>177</v>
      </c>
      <c r="B896" s="35" t="s">
        <v>55</v>
      </c>
      <c r="C896" s="37" t="s">
        <v>404</v>
      </c>
      <c r="D896" s="37" t="s">
        <v>176</v>
      </c>
      <c r="E896" s="38">
        <f>1115.1</f>
        <v>1115.1</v>
      </c>
      <c r="F896" s="38"/>
      <c r="G896" s="38">
        <v>557.9</v>
      </c>
      <c r="H896" s="38"/>
      <c r="I896" s="117"/>
    </row>
    <row r="897" spans="1:9" s="1" customFormat="1" ht="20.25" customHeight="1">
      <c r="A897" s="44" t="s">
        <v>179</v>
      </c>
      <c r="B897" s="36" t="s">
        <v>55</v>
      </c>
      <c r="C897" s="37" t="s">
        <v>404</v>
      </c>
      <c r="D897" s="8" t="s">
        <v>178</v>
      </c>
      <c r="E897" s="55">
        <f>E898</f>
        <v>3</v>
      </c>
      <c r="F897" s="55"/>
      <c r="G897" s="55">
        <f>G898</f>
        <v>0.6</v>
      </c>
      <c r="H897" s="55"/>
      <c r="I897" s="117"/>
    </row>
    <row r="898" spans="1:9" s="1" customFormat="1" ht="21" customHeight="1">
      <c r="A898" s="56" t="s">
        <v>348</v>
      </c>
      <c r="B898" s="35" t="s">
        <v>55</v>
      </c>
      <c r="C898" s="37" t="s">
        <v>404</v>
      </c>
      <c r="D898" s="37" t="s">
        <v>347</v>
      </c>
      <c r="E898" s="38">
        <f>3</f>
        <v>3</v>
      </c>
      <c r="F898" s="38"/>
      <c r="G898" s="38">
        <v>0.6</v>
      </c>
      <c r="H898" s="38"/>
      <c r="I898" s="117"/>
    </row>
    <row r="899" spans="1:9" s="1" customFormat="1" ht="24" customHeight="1">
      <c r="A899" s="23" t="s">
        <v>82</v>
      </c>
      <c r="B899" s="22" t="s">
        <v>99</v>
      </c>
      <c r="C899" s="22"/>
      <c r="D899" s="22"/>
      <c r="E899" s="24">
        <f aca="true" t="shared" si="41" ref="E899:H900">E900</f>
        <v>50853</v>
      </c>
      <c r="F899" s="24">
        <f t="shared" si="41"/>
        <v>42569</v>
      </c>
      <c r="G899" s="24">
        <f t="shared" si="41"/>
        <v>18696.699999999997</v>
      </c>
      <c r="H899" s="24">
        <f t="shared" si="41"/>
        <v>16753.1</v>
      </c>
      <c r="I899" s="24">
        <f>G899/E899*100</f>
        <v>36.76616915422885</v>
      </c>
    </row>
    <row r="900" spans="1:9" ht="17.25" customHeight="1">
      <c r="A900" s="79" t="s">
        <v>53</v>
      </c>
      <c r="B900" s="80" t="s">
        <v>83</v>
      </c>
      <c r="C900" s="80"/>
      <c r="D900" s="80"/>
      <c r="E900" s="81">
        <f t="shared" si="41"/>
        <v>50853</v>
      </c>
      <c r="F900" s="81">
        <f t="shared" si="41"/>
        <v>42569</v>
      </c>
      <c r="G900" s="81">
        <f t="shared" si="41"/>
        <v>18696.699999999997</v>
      </c>
      <c r="H900" s="81">
        <f t="shared" si="41"/>
        <v>16753.1</v>
      </c>
      <c r="I900" s="119"/>
    </row>
    <row r="901" spans="1:9" ht="58.5" customHeight="1">
      <c r="A901" s="58" t="s">
        <v>264</v>
      </c>
      <c r="B901" s="45" t="s">
        <v>83</v>
      </c>
      <c r="C901" s="67" t="s">
        <v>405</v>
      </c>
      <c r="D901" s="45"/>
      <c r="E901" s="48">
        <f>E902+E905</f>
        <v>50853</v>
      </c>
      <c r="F901" s="48">
        <f>F902+F905</f>
        <v>42569</v>
      </c>
      <c r="G901" s="48">
        <f>G902+G905</f>
        <v>18696.699999999997</v>
      </c>
      <c r="H901" s="48">
        <f>H902+H905</f>
        <v>16753.1</v>
      </c>
      <c r="I901" s="119"/>
    </row>
    <row r="902" spans="1:9" ht="45" customHeight="1">
      <c r="A902" s="34" t="s">
        <v>19</v>
      </c>
      <c r="B902" s="46" t="s">
        <v>83</v>
      </c>
      <c r="C902" s="67" t="s">
        <v>406</v>
      </c>
      <c r="D902" s="45"/>
      <c r="E902" s="51">
        <f>E903</f>
        <v>8284</v>
      </c>
      <c r="F902" s="51">
        <f>F903</f>
        <v>0</v>
      </c>
      <c r="G902" s="51">
        <f>G903</f>
        <v>1943.6</v>
      </c>
      <c r="H902" s="51">
        <f>H903</f>
        <v>0</v>
      </c>
      <c r="I902" s="119"/>
    </row>
    <row r="903" spans="1:9" ht="21.75" customHeight="1">
      <c r="A903" s="44" t="s">
        <v>43</v>
      </c>
      <c r="B903" s="46" t="s">
        <v>83</v>
      </c>
      <c r="C903" s="67" t="s">
        <v>406</v>
      </c>
      <c r="D903" s="45" t="s">
        <v>360</v>
      </c>
      <c r="E903" s="51">
        <f>E904</f>
        <v>8284</v>
      </c>
      <c r="F903" s="51"/>
      <c r="G903" s="51">
        <f>G904</f>
        <v>1943.6</v>
      </c>
      <c r="H903" s="51"/>
      <c r="I903" s="119"/>
    </row>
    <row r="904" spans="1:9" ht="28.5" customHeight="1">
      <c r="A904" s="49" t="s">
        <v>57</v>
      </c>
      <c r="B904" s="46" t="s">
        <v>83</v>
      </c>
      <c r="C904" s="67" t="s">
        <v>406</v>
      </c>
      <c r="D904" s="45" t="s">
        <v>56</v>
      </c>
      <c r="E904" s="51">
        <f>6480+1804</f>
        <v>8284</v>
      </c>
      <c r="F904" s="51"/>
      <c r="G904" s="51">
        <v>1943.6</v>
      </c>
      <c r="H904" s="51"/>
      <c r="I904" s="119"/>
    </row>
    <row r="905" spans="1:9" ht="48" customHeight="1">
      <c r="A905" s="56" t="s">
        <v>20</v>
      </c>
      <c r="B905" s="45" t="s">
        <v>83</v>
      </c>
      <c r="C905" s="67" t="s">
        <v>472</v>
      </c>
      <c r="D905" s="45"/>
      <c r="E905" s="48">
        <f aca="true" t="shared" si="42" ref="E905:H906">E906</f>
        <v>42569</v>
      </c>
      <c r="F905" s="48">
        <f t="shared" si="42"/>
        <v>42569</v>
      </c>
      <c r="G905" s="48">
        <f t="shared" si="42"/>
        <v>16753.1</v>
      </c>
      <c r="H905" s="48">
        <f t="shared" si="42"/>
        <v>16753.1</v>
      </c>
      <c r="I905" s="119"/>
    </row>
    <row r="906" spans="1:9" ht="25.5" customHeight="1">
      <c r="A906" s="44" t="s">
        <v>175</v>
      </c>
      <c r="B906" s="46" t="s">
        <v>83</v>
      </c>
      <c r="C906" s="67" t="s">
        <v>472</v>
      </c>
      <c r="D906" s="45" t="s">
        <v>174</v>
      </c>
      <c r="E906" s="51">
        <f t="shared" si="42"/>
        <v>42569</v>
      </c>
      <c r="F906" s="51">
        <f t="shared" si="42"/>
        <v>42569</v>
      </c>
      <c r="G906" s="51">
        <f t="shared" si="42"/>
        <v>16753.1</v>
      </c>
      <c r="H906" s="51">
        <f t="shared" si="42"/>
        <v>16753.1</v>
      </c>
      <c r="I906" s="119"/>
    </row>
    <row r="907" spans="1:9" ht="34.5" customHeight="1">
      <c r="A907" s="56" t="s">
        <v>177</v>
      </c>
      <c r="B907" s="46" t="s">
        <v>83</v>
      </c>
      <c r="C907" s="67" t="s">
        <v>472</v>
      </c>
      <c r="D907" s="45" t="s">
        <v>176</v>
      </c>
      <c r="E907" s="51">
        <v>42569</v>
      </c>
      <c r="F907" s="51">
        <f>E907</f>
        <v>42569</v>
      </c>
      <c r="G907" s="51">
        <v>16753.1</v>
      </c>
      <c r="H907" s="51">
        <f>G907</f>
        <v>16753.1</v>
      </c>
      <c r="I907" s="119"/>
    </row>
    <row r="908" spans="1:9" ht="19.5" customHeight="1">
      <c r="A908" s="25" t="s">
        <v>107</v>
      </c>
      <c r="B908" s="26" t="s">
        <v>130</v>
      </c>
      <c r="C908" s="26"/>
      <c r="D908" s="26"/>
      <c r="E908" s="27">
        <f>E909+E915+E954</f>
        <v>260791.4</v>
      </c>
      <c r="F908" s="27">
        <f>F909+F915+F954</f>
        <v>240273.7</v>
      </c>
      <c r="G908" s="27">
        <f>G909+G915+G954</f>
        <v>103025.7</v>
      </c>
      <c r="H908" s="27">
        <f>H909+H915+H954</f>
        <v>97399.4</v>
      </c>
      <c r="I908" s="27">
        <f>G908/E908*100</f>
        <v>39.50502202143169</v>
      </c>
    </row>
    <row r="909" spans="1:9" ht="15.75" customHeight="1">
      <c r="A909" s="57" t="s">
        <v>131</v>
      </c>
      <c r="B909" s="85">
        <v>1001</v>
      </c>
      <c r="C909" s="61"/>
      <c r="D909" s="63"/>
      <c r="E909" s="9">
        <f>E910</f>
        <v>16000</v>
      </c>
      <c r="F909" s="9"/>
      <c r="G909" s="9">
        <f>G910</f>
        <v>5601.3</v>
      </c>
      <c r="H909" s="9"/>
      <c r="I909" s="119"/>
    </row>
    <row r="910" spans="1:9" ht="18" customHeight="1">
      <c r="A910" s="34" t="s">
        <v>251</v>
      </c>
      <c r="B910" s="86">
        <v>1001</v>
      </c>
      <c r="C910" s="8" t="s">
        <v>21</v>
      </c>
      <c r="D910" s="36"/>
      <c r="E910" s="43">
        <f>E911</f>
        <v>16000</v>
      </c>
      <c r="F910" s="43"/>
      <c r="G910" s="43">
        <f>G911</f>
        <v>5601.3</v>
      </c>
      <c r="H910" s="43"/>
      <c r="I910" s="119"/>
    </row>
    <row r="911" spans="1:9" ht="51.75" customHeight="1">
      <c r="A911" s="34" t="s">
        <v>248</v>
      </c>
      <c r="B911" s="86">
        <v>1001</v>
      </c>
      <c r="C911" s="8" t="s">
        <v>28</v>
      </c>
      <c r="D911" s="36"/>
      <c r="E911" s="43">
        <f>E913</f>
        <v>16000</v>
      </c>
      <c r="F911" s="43"/>
      <c r="G911" s="43">
        <f>G913</f>
        <v>5601.3</v>
      </c>
      <c r="H911" s="43"/>
      <c r="I911" s="119"/>
    </row>
    <row r="912" spans="1:9" ht="18.75" customHeight="1">
      <c r="A912" s="39" t="s">
        <v>153</v>
      </c>
      <c r="B912" s="86">
        <v>1001</v>
      </c>
      <c r="C912" s="8" t="s">
        <v>29</v>
      </c>
      <c r="D912" s="36"/>
      <c r="E912" s="43">
        <f>E913</f>
        <v>16000</v>
      </c>
      <c r="F912" s="43"/>
      <c r="G912" s="43">
        <f>G913</f>
        <v>5601.3</v>
      </c>
      <c r="H912" s="43"/>
      <c r="I912" s="119"/>
    </row>
    <row r="913" spans="1:9" ht="19.5" customHeight="1">
      <c r="A913" s="49" t="s">
        <v>408</v>
      </c>
      <c r="B913" s="87">
        <v>1001</v>
      </c>
      <c r="C913" s="8" t="s">
        <v>29</v>
      </c>
      <c r="D913" s="35" t="s">
        <v>360</v>
      </c>
      <c r="E913" s="42">
        <f>E914</f>
        <v>16000</v>
      </c>
      <c r="F913" s="42"/>
      <c r="G913" s="42">
        <f>G914</f>
        <v>5601.3</v>
      </c>
      <c r="H913" s="42"/>
      <c r="I913" s="119"/>
    </row>
    <row r="914" spans="1:9" ht="24" customHeight="1">
      <c r="A914" s="39" t="s">
        <v>413</v>
      </c>
      <c r="B914" s="86">
        <v>1001</v>
      </c>
      <c r="C914" s="8" t="s">
        <v>29</v>
      </c>
      <c r="D914" s="36" t="s">
        <v>412</v>
      </c>
      <c r="E914" s="43">
        <f>16000</f>
        <v>16000</v>
      </c>
      <c r="F914" s="43"/>
      <c r="G914" s="43">
        <v>5601.3</v>
      </c>
      <c r="H914" s="43"/>
      <c r="I914" s="119"/>
    </row>
    <row r="915" spans="1:9" ht="18" customHeight="1">
      <c r="A915" s="57" t="s">
        <v>133</v>
      </c>
      <c r="B915" s="61" t="s">
        <v>134</v>
      </c>
      <c r="C915" s="61"/>
      <c r="D915" s="61"/>
      <c r="E915" s="11">
        <f>E946+E926+E949+E916</f>
        <v>97403.4</v>
      </c>
      <c r="F915" s="11">
        <f>F946+F926+F949+F916</f>
        <v>93885.7</v>
      </c>
      <c r="G915" s="11">
        <f>G946+G926+G949+G916</f>
        <v>46641.7</v>
      </c>
      <c r="H915" s="11">
        <f>H946+H926+H949+H916</f>
        <v>46616.7</v>
      </c>
      <c r="I915" s="119"/>
    </row>
    <row r="916" spans="1:9" ht="78.75" customHeight="1">
      <c r="A916" s="34" t="s">
        <v>279</v>
      </c>
      <c r="B916" s="37" t="s">
        <v>134</v>
      </c>
      <c r="C916" s="37" t="s">
        <v>37</v>
      </c>
      <c r="D916" s="37"/>
      <c r="E916" s="38">
        <f>E917+E920+E923</f>
        <v>2745.7</v>
      </c>
      <c r="F916" s="38">
        <f>F917+F920</f>
        <v>1963.2</v>
      </c>
      <c r="G916" s="38">
        <f>G917+G920+G923</f>
        <v>0</v>
      </c>
      <c r="H916" s="38">
        <f>H917+H920</f>
        <v>0</v>
      </c>
      <c r="I916" s="119"/>
    </row>
    <row r="917" spans="1:9" ht="47.25" customHeight="1">
      <c r="A917" s="34" t="s">
        <v>679</v>
      </c>
      <c r="B917" s="37" t="s">
        <v>134</v>
      </c>
      <c r="C917" s="37" t="s">
        <v>680</v>
      </c>
      <c r="D917" s="61"/>
      <c r="E917" s="38">
        <f aca="true" t="shared" si="43" ref="E917:H918">E918</f>
        <v>1312.5</v>
      </c>
      <c r="F917" s="38">
        <f t="shared" si="43"/>
        <v>1312.5</v>
      </c>
      <c r="G917" s="38">
        <f t="shared" si="43"/>
        <v>0</v>
      </c>
      <c r="H917" s="38">
        <f t="shared" si="43"/>
        <v>0</v>
      </c>
      <c r="I917" s="119"/>
    </row>
    <row r="918" spans="1:9" ht="19.5" customHeight="1">
      <c r="A918" s="49" t="s">
        <v>408</v>
      </c>
      <c r="B918" s="37" t="s">
        <v>134</v>
      </c>
      <c r="C918" s="37" t="s">
        <v>680</v>
      </c>
      <c r="D918" s="35" t="s">
        <v>360</v>
      </c>
      <c r="E918" s="38">
        <f t="shared" si="43"/>
        <v>1312.5</v>
      </c>
      <c r="F918" s="38">
        <f t="shared" si="43"/>
        <v>1312.5</v>
      </c>
      <c r="G918" s="38">
        <f t="shared" si="43"/>
        <v>0</v>
      </c>
      <c r="H918" s="38">
        <f t="shared" si="43"/>
        <v>0</v>
      </c>
      <c r="I918" s="119"/>
    </row>
    <row r="919" spans="1:9" ht="30.75" customHeight="1">
      <c r="A919" s="49" t="s">
        <v>57</v>
      </c>
      <c r="B919" s="37" t="s">
        <v>134</v>
      </c>
      <c r="C919" s="37" t="s">
        <v>680</v>
      </c>
      <c r="D919" s="36" t="s">
        <v>56</v>
      </c>
      <c r="E919" s="38">
        <v>1312.5</v>
      </c>
      <c r="F919" s="38">
        <v>1312.5</v>
      </c>
      <c r="G919" s="38">
        <v>0</v>
      </c>
      <c r="H919" s="38"/>
      <c r="I919" s="119"/>
    </row>
    <row r="920" spans="1:9" ht="33.75" customHeight="1">
      <c r="A920" s="49" t="s">
        <v>681</v>
      </c>
      <c r="B920" s="37" t="s">
        <v>134</v>
      </c>
      <c r="C920" s="37" t="s">
        <v>682</v>
      </c>
      <c r="D920" s="61"/>
      <c r="E920" s="38">
        <f aca="true" t="shared" si="44" ref="E920:H921">E921</f>
        <v>650.7</v>
      </c>
      <c r="F920" s="38">
        <f t="shared" si="44"/>
        <v>650.7</v>
      </c>
      <c r="G920" s="38">
        <f t="shared" si="44"/>
        <v>0</v>
      </c>
      <c r="H920" s="38">
        <f t="shared" si="44"/>
        <v>0</v>
      </c>
      <c r="I920" s="119"/>
    </row>
    <row r="921" spans="1:9" ht="18" customHeight="1">
      <c r="A921" s="49" t="s">
        <v>408</v>
      </c>
      <c r="B921" s="37" t="s">
        <v>134</v>
      </c>
      <c r="C921" s="37" t="s">
        <v>682</v>
      </c>
      <c r="D921" s="35" t="s">
        <v>360</v>
      </c>
      <c r="E921" s="38">
        <f t="shared" si="44"/>
        <v>650.7</v>
      </c>
      <c r="F921" s="38">
        <f t="shared" si="44"/>
        <v>650.7</v>
      </c>
      <c r="G921" s="38">
        <f t="shared" si="44"/>
        <v>0</v>
      </c>
      <c r="H921" s="38">
        <f t="shared" si="44"/>
        <v>0</v>
      </c>
      <c r="I921" s="119"/>
    </row>
    <row r="922" spans="1:9" ht="30" customHeight="1">
      <c r="A922" s="49" t="s">
        <v>57</v>
      </c>
      <c r="B922" s="37" t="s">
        <v>134</v>
      </c>
      <c r="C922" s="37" t="s">
        <v>682</v>
      </c>
      <c r="D922" s="36" t="s">
        <v>56</v>
      </c>
      <c r="E922" s="38">
        <v>650.7</v>
      </c>
      <c r="F922" s="38">
        <v>650.7</v>
      </c>
      <c r="G922" s="38">
        <v>0</v>
      </c>
      <c r="H922" s="38"/>
      <c r="I922" s="119"/>
    </row>
    <row r="923" spans="1:9" ht="48" customHeight="1">
      <c r="A923" s="34" t="s">
        <v>694</v>
      </c>
      <c r="B923" s="37" t="s">
        <v>134</v>
      </c>
      <c r="C923" s="37" t="s">
        <v>693</v>
      </c>
      <c r="D923" s="61"/>
      <c r="E923" s="38">
        <f>E924</f>
        <v>782.5</v>
      </c>
      <c r="F923" s="38"/>
      <c r="G923" s="38">
        <f>G924</f>
        <v>0</v>
      </c>
      <c r="H923" s="38"/>
      <c r="I923" s="119"/>
    </row>
    <row r="924" spans="1:9" ht="22.5" customHeight="1">
      <c r="A924" s="49" t="s">
        <v>408</v>
      </c>
      <c r="B924" s="37" t="s">
        <v>134</v>
      </c>
      <c r="C924" s="37" t="s">
        <v>693</v>
      </c>
      <c r="D924" s="35" t="s">
        <v>360</v>
      </c>
      <c r="E924" s="38">
        <f>E925</f>
        <v>782.5</v>
      </c>
      <c r="F924" s="38"/>
      <c r="G924" s="38">
        <f>G925</f>
        <v>0</v>
      </c>
      <c r="H924" s="38"/>
      <c r="I924" s="119"/>
    </row>
    <row r="925" spans="1:9" ht="30" customHeight="1">
      <c r="A925" s="49" t="s">
        <v>57</v>
      </c>
      <c r="B925" s="37" t="s">
        <v>134</v>
      </c>
      <c r="C925" s="37" t="s">
        <v>693</v>
      </c>
      <c r="D925" s="36" t="s">
        <v>56</v>
      </c>
      <c r="E925" s="38">
        <f>782.5</f>
        <v>782.5</v>
      </c>
      <c r="F925" s="38"/>
      <c r="G925" s="38">
        <v>0</v>
      </c>
      <c r="H925" s="38"/>
      <c r="I925" s="119"/>
    </row>
    <row r="926" spans="1:9" ht="36.75" customHeight="1">
      <c r="A926" s="34" t="s">
        <v>6</v>
      </c>
      <c r="B926" s="37" t="s">
        <v>134</v>
      </c>
      <c r="C926" s="37" t="s">
        <v>181</v>
      </c>
      <c r="D926" s="37"/>
      <c r="E926" s="38">
        <f>E927+E938+E931+E942</f>
        <v>11523.7</v>
      </c>
      <c r="F926" s="38">
        <f>F927+F938+F931+F942</f>
        <v>9213.5</v>
      </c>
      <c r="G926" s="38">
        <f>G927+G938+G931+G942</f>
        <v>0</v>
      </c>
      <c r="H926" s="38">
        <f>H927+H938+H931+H942</f>
        <v>0</v>
      </c>
      <c r="I926" s="119"/>
    </row>
    <row r="927" spans="1:9" ht="30" customHeight="1">
      <c r="A927" s="39" t="s">
        <v>305</v>
      </c>
      <c r="B927" s="37" t="s">
        <v>134</v>
      </c>
      <c r="C927" s="37" t="s">
        <v>182</v>
      </c>
      <c r="D927" s="37"/>
      <c r="E927" s="38">
        <f>E929</f>
        <v>9365.3</v>
      </c>
      <c r="F927" s="38">
        <f>F929</f>
        <v>7151.5</v>
      </c>
      <c r="G927" s="38">
        <f>G929</f>
        <v>0</v>
      </c>
      <c r="H927" s="38">
        <f>H929</f>
        <v>0</v>
      </c>
      <c r="I927" s="119"/>
    </row>
    <row r="928" spans="1:9" ht="35.25" customHeight="1">
      <c r="A928" s="49" t="s">
        <v>221</v>
      </c>
      <c r="B928" s="37" t="s">
        <v>134</v>
      </c>
      <c r="C928" s="37" t="s">
        <v>651</v>
      </c>
      <c r="D928" s="37"/>
      <c r="E928" s="38">
        <f aca="true" t="shared" si="45" ref="E928:H929">E929</f>
        <v>9365.3</v>
      </c>
      <c r="F928" s="38">
        <f t="shared" si="45"/>
        <v>7151.5</v>
      </c>
      <c r="G928" s="38">
        <f t="shared" si="45"/>
        <v>0</v>
      </c>
      <c r="H928" s="38">
        <f t="shared" si="45"/>
        <v>0</v>
      </c>
      <c r="I928" s="119"/>
    </row>
    <row r="929" spans="1:9" ht="24" customHeight="1">
      <c r="A929" s="49" t="s">
        <v>408</v>
      </c>
      <c r="B929" s="37" t="s">
        <v>134</v>
      </c>
      <c r="C929" s="37" t="s">
        <v>651</v>
      </c>
      <c r="D929" s="37" t="s">
        <v>360</v>
      </c>
      <c r="E929" s="38">
        <f t="shared" si="45"/>
        <v>9365.3</v>
      </c>
      <c r="F929" s="38">
        <f t="shared" si="45"/>
        <v>7151.5</v>
      </c>
      <c r="G929" s="38">
        <f t="shared" si="45"/>
        <v>0</v>
      </c>
      <c r="H929" s="38">
        <f t="shared" si="45"/>
        <v>0</v>
      </c>
      <c r="I929" s="119"/>
    </row>
    <row r="930" spans="1:9" ht="29.25" customHeight="1">
      <c r="A930" s="49" t="s">
        <v>57</v>
      </c>
      <c r="B930" s="37" t="s">
        <v>134</v>
      </c>
      <c r="C930" s="37" t="s">
        <v>651</v>
      </c>
      <c r="D930" s="37" t="s">
        <v>56</v>
      </c>
      <c r="E930" s="38">
        <f>2213.8+7151.5</f>
        <v>9365.3</v>
      </c>
      <c r="F930" s="38">
        <f>7151.5</f>
        <v>7151.5</v>
      </c>
      <c r="G930" s="38">
        <v>0</v>
      </c>
      <c r="H930" s="38"/>
      <c r="I930" s="119"/>
    </row>
    <row r="931" spans="1:9" ht="23.25" customHeight="1">
      <c r="A931" s="58" t="s">
        <v>313</v>
      </c>
      <c r="B931" s="37" t="s">
        <v>134</v>
      </c>
      <c r="C931" s="37" t="s">
        <v>222</v>
      </c>
      <c r="D931" s="37"/>
      <c r="E931" s="38">
        <f>E935+E932</f>
        <v>266.7</v>
      </c>
      <c r="F931" s="38">
        <f>F935+F932</f>
        <v>264</v>
      </c>
      <c r="G931" s="38">
        <f>G935+G932</f>
        <v>0</v>
      </c>
      <c r="H931" s="38">
        <f>H935+H932</f>
        <v>0</v>
      </c>
      <c r="I931" s="119"/>
    </row>
    <row r="932" spans="1:9" ht="29.25" customHeight="1">
      <c r="A932" s="49" t="s">
        <v>719</v>
      </c>
      <c r="B932" s="37" t="s">
        <v>134</v>
      </c>
      <c r="C932" s="37" t="s">
        <v>718</v>
      </c>
      <c r="D932" s="37"/>
      <c r="E932" s="38">
        <f aca="true" t="shared" si="46" ref="E932:H933">E933</f>
        <v>264</v>
      </c>
      <c r="F932" s="38">
        <f t="shared" si="46"/>
        <v>264</v>
      </c>
      <c r="G932" s="38">
        <f t="shared" si="46"/>
        <v>0</v>
      </c>
      <c r="H932" s="38">
        <f t="shared" si="46"/>
        <v>0</v>
      </c>
      <c r="I932" s="119"/>
    </row>
    <row r="933" spans="1:9" ht="23.25" customHeight="1">
      <c r="A933" s="49" t="s">
        <v>408</v>
      </c>
      <c r="B933" s="37" t="s">
        <v>134</v>
      </c>
      <c r="C933" s="37" t="s">
        <v>718</v>
      </c>
      <c r="D933" s="37" t="s">
        <v>360</v>
      </c>
      <c r="E933" s="38">
        <f t="shared" si="46"/>
        <v>264</v>
      </c>
      <c r="F933" s="38">
        <f t="shared" si="46"/>
        <v>264</v>
      </c>
      <c r="G933" s="38">
        <f t="shared" si="46"/>
        <v>0</v>
      </c>
      <c r="H933" s="38">
        <f t="shared" si="46"/>
        <v>0</v>
      </c>
      <c r="I933" s="119"/>
    </row>
    <row r="934" spans="1:9" ht="27.75" customHeight="1">
      <c r="A934" s="49" t="s">
        <v>57</v>
      </c>
      <c r="B934" s="37" t="s">
        <v>134</v>
      </c>
      <c r="C934" s="37" t="s">
        <v>718</v>
      </c>
      <c r="D934" s="37" t="s">
        <v>56</v>
      </c>
      <c r="E934" s="38">
        <f>264</f>
        <v>264</v>
      </c>
      <c r="F934" s="38">
        <f>264</f>
        <v>264</v>
      </c>
      <c r="G934" s="38">
        <v>0</v>
      </c>
      <c r="H934" s="38"/>
      <c r="I934" s="119"/>
    </row>
    <row r="935" spans="1:9" ht="36" customHeight="1">
      <c r="A935" s="49" t="s">
        <v>720</v>
      </c>
      <c r="B935" s="37" t="s">
        <v>134</v>
      </c>
      <c r="C935" s="37" t="s">
        <v>254</v>
      </c>
      <c r="D935" s="37"/>
      <c r="E935" s="38">
        <f>E936</f>
        <v>2.7</v>
      </c>
      <c r="F935" s="38"/>
      <c r="G935" s="38">
        <f>G936</f>
        <v>0</v>
      </c>
      <c r="H935" s="38"/>
      <c r="I935" s="119"/>
    </row>
    <row r="936" spans="1:9" ht="23.25" customHeight="1">
      <c r="A936" s="49" t="s">
        <v>408</v>
      </c>
      <c r="B936" s="37" t="s">
        <v>134</v>
      </c>
      <c r="C936" s="37" t="s">
        <v>254</v>
      </c>
      <c r="D936" s="37" t="s">
        <v>360</v>
      </c>
      <c r="E936" s="38">
        <f>E937</f>
        <v>2.7</v>
      </c>
      <c r="F936" s="38"/>
      <c r="G936" s="38">
        <f>G937</f>
        <v>0</v>
      </c>
      <c r="H936" s="38"/>
      <c r="I936" s="119"/>
    </row>
    <row r="937" spans="1:9" ht="33.75" customHeight="1">
      <c r="A937" s="49" t="s">
        <v>57</v>
      </c>
      <c r="B937" s="37" t="s">
        <v>134</v>
      </c>
      <c r="C937" s="37" t="s">
        <v>254</v>
      </c>
      <c r="D937" s="37" t="s">
        <v>56</v>
      </c>
      <c r="E937" s="38">
        <f>2.7</f>
        <v>2.7</v>
      </c>
      <c r="F937" s="38"/>
      <c r="G937" s="38">
        <v>0</v>
      </c>
      <c r="H937" s="38"/>
      <c r="I937" s="119"/>
    </row>
    <row r="938" spans="1:9" ht="35.25" customHeight="1">
      <c r="A938" s="58" t="s">
        <v>306</v>
      </c>
      <c r="B938" s="37" t="s">
        <v>134</v>
      </c>
      <c r="C938" s="37" t="s">
        <v>343</v>
      </c>
      <c r="D938" s="37"/>
      <c r="E938" s="38">
        <f>E939</f>
        <v>93.7</v>
      </c>
      <c r="F938" s="38">
        <f>F939</f>
        <v>0</v>
      </c>
      <c r="G938" s="38">
        <f>G939</f>
        <v>0</v>
      </c>
      <c r="H938" s="38">
        <f>H939</f>
        <v>0</v>
      </c>
      <c r="I938" s="119"/>
    </row>
    <row r="939" spans="1:9" ht="67.5" customHeight="1">
      <c r="A939" s="49" t="s">
        <v>223</v>
      </c>
      <c r="B939" s="37" t="s">
        <v>134</v>
      </c>
      <c r="C939" s="37" t="s">
        <v>307</v>
      </c>
      <c r="D939" s="37"/>
      <c r="E939" s="38">
        <f>E940</f>
        <v>93.7</v>
      </c>
      <c r="F939" s="38"/>
      <c r="G939" s="38">
        <f>G940</f>
        <v>0</v>
      </c>
      <c r="H939" s="38"/>
      <c r="I939" s="119"/>
    </row>
    <row r="940" spans="1:9" ht="24" customHeight="1">
      <c r="A940" s="49" t="s">
        <v>408</v>
      </c>
      <c r="B940" s="37" t="s">
        <v>134</v>
      </c>
      <c r="C940" s="37" t="s">
        <v>307</v>
      </c>
      <c r="D940" s="37" t="s">
        <v>360</v>
      </c>
      <c r="E940" s="38">
        <f>E941</f>
        <v>93.7</v>
      </c>
      <c r="F940" s="38"/>
      <c r="G940" s="38">
        <f>G941</f>
        <v>0</v>
      </c>
      <c r="H940" s="38"/>
      <c r="I940" s="119"/>
    </row>
    <row r="941" spans="1:9" ht="33" customHeight="1">
      <c r="A941" s="49" t="s">
        <v>57</v>
      </c>
      <c r="B941" s="37" t="s">
        <v>134</v>
      </c>
      <c r="C941" s="37" t="s">
        <v>307</v>
      </c>
      <c r="D941" s="37" t="s">
        <v>56</v>
      </c>
      <c r="E941" s="38">
        <v>93.7</v>
      </c>
      <c r="F941" s="38"/>
      <c r="G941" s="38">
        <v>0</v>
      </c>
      <c r="H941" s="38"/>
      <c r="I941" s="119"/>
    </row>
    <row r="942" spans="1:9" ht="33" customHeight="1">
      <c r="A942" s="49" t="s">
        <v>310</v>
      </c>
      <c r="B942" s="37" t="s">
        <v>134</v>
      </c>
      <c r="C942" s="37" t="s">
        <v>308</v>
      </c>
      <c r="D942" s="37"/>
      <c r="E942" s="38">
        <f aca="true" t="shared" si="47" ref="E942:H944">E943</f>
        <v>1798</v>
      </c>
      <c r="F942" s="38">
        <f t="shared" si="47"/>
        <v>1798</v>
      </c>
      <c r="G942" s="38">
        <f t="shared" si="47"/>
        <v>0</v>
      </c>
      <c r="H942" s="38">
        <f t="shared" si="47"/>
        <v>0</v>
      </c>
      <c r="I942" s="119"/>
    </row>
    <row r="943" spans="1:9" ht="33" customHeight="1">
      <c r="A943" s="97" t="s">
        <v>443</v>
      </c>
      <c r="B943" s="37" t="s">
        <v>134</v>
      </c>
      <c r="C943" s="37" t="s">
        <v>309</v>
      </c>
      <c r="D943" s="37"/>
      <c r="E943" s="38">
        <f t="shared" si="47"/>
        <v>1798</v>
      </c>
      <c r="F943" s="38">
        <f t="shared" si="47"/>
        <v>1798</v>
      </c>
      <c r="G943" s="38">
        <f t="shared" si="47"/>
        <v>0</v>
      </c>
      <c r="H943" s="38">
        <f t="shared" si="47"/>
        <v>0</v>
      </c>
      <c r="I943" s="119"/>
    </row>
    <row r="944" spans="1:9" ht="25.5" customHeight="1">
      <c r="A944" s="49" t="s">
        <v>408</v>
      </c>
      <c r="B944" s="37" t="s">
        <v>134</v>
      </c>
      <c r="C944" s="37" t="s">
        <v>309</v>
      </c>
      <c r="D944" s="37" t="s">
        <v>360</v>
      </c>
      <c r="E944" s="38">
        <f t="shared" si="47"/>
        <v>1798</v>
      </c>
      <c r="F944" s="38">
        <f t="shared" si="47"/>
        <v>1798</v>
      </c>
      <c r="G944" s="38">
        <f t="shared" si="47"/>
        <v>0</v>
      </c>
      <c r="H944" s="38">
        <f t="shared" si="47"/>
        <v>0</v>
      </c>
      <c r="I944" s="119"/>
    </row>
    <row r="945" spans="1:9" ht="33" customHeight="1">
      <c r="A945" s="49" t="s">
        <v>57</v>
      </c>
      <c r="B945" s="37" t="s">
        <v>134</v>
      </c>
      <c r="C945" s="37" t="s">
        <v>309</v>
      </c>
      <c r="D945" s="37" t="s">
        <v>56</v>
      </c>
      <c r="E945" s="38">
        <f>2599-801</f>
        <v>1798</v>
      </c>
      <c r="F945" s="38">
        <f>E945</f>
        <v>1798</v>
      </c>
      <c r="G945" s="38">
        <v>0</v>
      </c>
      <c r="H945" s="38">
        <f>G945</f>
        <v>0</v>
      </c>
      <c r="I945" s="119"/>
    </row>
    <row r="946" spans="1:9" ht="60.75" customHeight="1">
      <c r="A946" s="39" t="s">
        <v>0</v>
      </c>
      <c r="B946" s="37" t="s">
        <v>134</v>
      </c>
      <c r="C946" s="37" t="s">
        <v>579</v>
      </c>
      <c r="D946" s="37"/>
      <c r="E946" s="38">
        <f>E948</f>
        <v>82709</v>
      </c>
      <c r="F946" s="38">
        <f>F948</f>
        <v>82709</v>
      </c>
      <c r="G946" s="38">
        <f>G948</f>
        <v>46616.7</v>
      </c>
      <c r="H946" s="38">
        <f>H948</f>
        <v>46616.7</v>
      </c>
      <c r="I946" s="119"/>
    </row>
    <row r="947" spans="1:9" ht="24" customHeight="1">
      <c r="A947" s="49" t="s">
        <v>408</v>
      </c>
      <c r="B947" s="37" t="s">
        <v>134</v>
      </c>
      <c r="C947" s="37" t="s">
        <v>579</v>
      </c>
      <c r="D947" s="37" t="s">
        <v>360</v>
      </c>
      <c r="E947" s="38">
        <f>E948</f>
        <v>82709</v>
      </c>
      <c r="F947" s="38">
        <f>F948</f>
        <v>82709</v>
      </c>
      <c r="G947" s="38">
        <f>G948</f>
        <v>46616.7</v>
      </c>
      <c r="H947" s="38">
        <f>H948</f>
        <v>46616.7</v>
      </c>
      <c r="I947" s="119"/>
    </row>
    <row r="948" spans="1:9" ht="31.5" customHeight="1">
      <c r="A948" s="39" t="s">
        <v>57</v>
      </c>
      <c r="B948" s="37" t="s">
        <v>134</v>
      </c>
      <c r="C948" s="37" t="s">
        <v>579</v>
      </c>
      <c r="D948" s="37" t="s">
        <v>56</v>
      </c>
      <c r="E948" s="38">
        <v>82709</v>
      </c>
      <c r="F948" s="38">
        <f>E948</f>
        <v>82709</v>
      </c>
      <c r="G948" s="38">
        <v>46616.7</v>
      </c>
      <c r="H948" s="38">
        <f>G948</f>
        <v>46616.7</v>
      </c>
      <c r="I948" s="119"/>
    </row>
    <row r="949" spans="1:9" ht="23.25" customHeight="1">
      <c r="A949" s="34" t="s">
        <v>251</v>
      </c>
      <c r="B949" s="37" t="s">
        <v>134</v>
      </c>
      <c r="C949" s="8" t="s">
        <v>21</v>
      </c>
      <c r="D949" s="61"/>
      <c r="E949" s="74">
        <f>E950</f>
        <v>425</v>
      </c>
      <c r="F949" s="11"/>
      <c r="G949" s="74">
        <f>G950</f>
        <v>25</v>
      </c>
      <c r="H949" s="11"/>
      <c r="I949" s="119"/>
    </row>
    <row r="950" spans="1:9" ht="24.75" customHeight="1">
      <c r="A950" s="49" t="s">
        <v>42</v>
      </c>
      <c r="B950" s="37" t="s">
        <v>134</v>
      </c>
      <c r="C950" s="37" t="s">
        <v>22</v>
      </c>
      <c r="D950" s="61"/>
      <c r="E950" s="74">
        <f>E951</f>
        <v>425</v>
      </c>
      <c r="F950" s="11"/>
      <c r="G950" s="74">
        <f>G951</f>
        <v>25</v>
      </c>
      <c r="H950" s="11"/>
      <c r="I950" s="119"/>
    </row>
    <row r="951" spans="1:9" ht="31.5" customHeight="1">
      <c r="A951" s="41" t="s">
        <v>440</v>
      </c>
      <c r="B951" s="37" t="s">
        <v>134</v>
      </c>
      <c r="C951" s="8" t="s">
        <v>199</v>
      </c>
      <c r="D951" s="36"/>
      <c r="E951" s="55">
        <f>E952</f>
        <v>425</v>
      </c>
      <c r="F951" s="11"/>
      <c r="G951" s="55">
        <f>G952</f>
        <v>25</v>
      </c>
      <c r="H951" s="11"/>
      <c r="I951" s="119"/>
    </row>
    <row r="952" spans="1:9" ht="25.5" customHeight="1">
      <c r="A952" s="49" t="s">
        <v>408</v>
      </c>
      <c r="B952" s="37" t="s">
        <v>134</v>
      </c>
      <c r="C952" s="8" t="s">
        <v>199</v>
      </c>
      <c r="D952" s="36" t="s">
        <v>360</v>
      </c>
      <c r="E952" s="55">
        <f>E953</f>
        <v>425</v>
      </c>
      <c r="F952" s="11"/>
      <c r="G952" s="55">
        <f>G953</f>
        <v>25</v>
      </c>
      <c r="H952" s="11"/>
      <c r="I952" s="119"/>
    </row>
    <row r="953" spans="1:9" ht="24.75" customHeight="1">
      <c r="A953" s="39" t="s">
        <v>413</v>
      </c>
      <c r="B953" s="37" t="s">
        <v>134</v>
      </c>
      <c r="C953" s="8" t="s">
        <v>199</v>
      </c>
      <c r="D953" s="36" t="s">
        <v>412</v>
      </c>
      <c r="E953" s="55">
        <f>425</f>
        <v>425</v>
      </c>
      <c r="F953" s="11"/>
      <c r="G953" s="55">
        <v>25</v>
      </c>
      <c r="H953" s="11"/>
      <c r="I953" s="119"/>
    </row>
    <row r="954" spans="1:9" ht="22.5" customHeight="1">
      <c r="A954" s="57" t="s">
        <v>62</v>
      </c>
      <c r="B954" s="61" t="s">
        <v>132</v>
      </c>
      <c r="C954" s="61"/>
      <c r="D954" s="61"/>
      <c r="E954" s="11">
        <f>E959+E965+E955</f>
        <v>147388</v>
      </c>
      <c r="F954" s="11">
        <f>F959+F967</f>
        <v>146388</v>
      </c>
      <c r="G954" s="11">
        <f>G959+G965+G955</f>
        <v>50782.7</v>
      </c>
      <c r="H954" s="11">
        <f>H959+H967</f>
        <v>50782.7</v>
      </c>
      <c r="I954" s="119"/>
    </row>
    <row r="955" spans="1:9" ht="45" customHeight="1">
      <c r="A955" s="58" t="s">
        <v>264</v>
      </c>
      <c r="B955" s="37" t="s">
        <v>132</v>
      </c>
      <c r="C955" s="8" t="s">
        <v>405</v>
      </c>
      <c r="D955" s="37"/>
      <c r="E955" s="38">
        <f>E956</f>
        <v>1000</v>
      </c>
      <c r="F955" s="38"/>
      <c r="G955" s="38">
        <f>G956</f>
        <v>0</v>
      </c>
      <c r="H955" s="38"/>
      <c r="I955" s="119"/>
    </row>
    <row r="956" spans="1:9" ht="30.75" customHeight="1">
      <c r="A956" s="44" t="s">
        <v>695</v>
      </c>
      <c r="B956" s="37" t="s">
        <v>132</v>
      </c>
      <c r="C956" s="37" t="s">
        <v>621</v>
      </c>
      <c r="D956" s="37"/>
      <c r="E956" s="38">
        <f>E957</f>
        <v>1000</v>
      </c>
      <c r="F956" s="38"/>
      <c r="G956" s="38">
        <f>G957</f>
        <v>0</v>
      </c>
      <c r="H956" s="38"/>
      <c r="I956" s="119"/>
    </row>
    <row r="957" spans="1:9" ht="22.5" customHeight="1">
      <c r="A957" s="44" t="s">
        <v>175</v>
      </c>
      <c r="B957" s="37" t="s">
        <v>132</v>
      </c>
      <c r="C957" s="37" t="s">
        <v>621</v>
      </c>
      <c r="D957" s="37" t="s">
        <v>174</v>
      </c>
      <c r="E957" s="38">
        <f>E958</f>
        <v>1000</v>
      </c>
      <c r="F957" s="38"/>
      <c r="G957" s="38">
        <f>G958</f>
        <v>0</v>
      </c>
      <c r="H957" s="38"/>
      <c r="I957" s="119"/>
    </row>
    <row r="958" spans="1:9" ht="33.75" customHeight="1">
      <c r="A958" s="44" t="s">
        <v>177</v>
      </c>
      <c r="B958" s="37" t="s">
        <v>132</v>
      </c>
      <c r="C958" s="37" t="s">
        <v>621</v>
      </c>
      <c r="D958" s="37" t="s">
        <v>176</v>
      </c>
      <c r="E958" s="38">
        <f>1000</f>
        <v>1000</v>
      </c>
      <c r="F958" s="38"/>
      <c r="G958" s="38">
        <v>0</v>
      </c>
      <c r="H958" s="38"/>
      <c r="I958" s="119"/>
    </row>
    <row r="959" spans="1:9" ht="24" customHeight="1">
      <c r="A959" s="39" t="s">
        <v>164</v>
      </c>
      <c r="B959" s="37" t="s">
        <v>132</v>
      </c>
      <c r="C959" s="37" t="s">
        <v>139</v>
      </c>
      <c r="D959" s="37"/>
      <c r="E959" s="38">
        <f>E960</f>
        <v>82741</v>
      </c>
      <c r="F959" s="38">
        <f>F960</f>
        <v>82741</v>
      </c>
      <c r="G959" s="38">
        <f>G960</f>
        <v>36467.1</v>
      </c>
      <c r="H959" s="38">
        <f>H960</f>
        <v>36467.1</v>
      </c>
      <c r="I959" s="119"/>
    </row>
    <row r="960" spans="1:9" ht="77.25" customHeight="1">
      <c r="A960" s="49" t="s">
        <v>287</v>
      </c>
      <c r="B960" s="37" t="s">
        <v>132</v>
      </c>
      <c r="C960" s="37" t="s">
        <v>471</v>
      </c>
      <c r="D960" s="37"/>
      <c r="E960" s="38">
        <f>E963+E961</f>
        <v>82741</v>
      </c>
      <c r="F960" s="38">
        <f>F963+F961</f>
        <v>82741</v>
      </c>
      <c r="G960" s="38">
        <f>G963+G961</f>
        <v>36467.1</v>
      </c>
      <c r="H960" s="38">
        <f>H963+H961</f>
        <v>36467.1</v>
      </c>
      <c r="I960" s="119"/>
    </row>
    <row r="961" spans="1:9" ht="30" customHeight="1">
      <c r="A961" s="44" t="s">
        <v>175</v>
      </c>
      <c r="B961" s="37" t="s">
        <v>132</v>
      </c>
      <c r="C961" s="37" t="s">
        <v>471</v>
      </c>
      <c r="D961" s="37" t="s">
        <v>174</v>
      </c>
      <c r="E961" s="38">
        <f>E962</f>
        <v>819</v>
      </c>
      <c r="F961" s="38">
        <f>F962</f>
        <v>819</v>
      </c>
      <c r="G961" s="38">
        <f>G962</f>
        <v>270.1</v>
      </c>
      <c r="H961" s="38">
        <f>H962</f>
        <v>270.1</v>
      </c>
      <c r="I961" s="119"/>
    </row>
    <row r="962" spans="1:9" ht="32.25" customHeight="1">
      <c r="A962" s="44" t="s">
        <v>177</v>
      </c>
      <c r="B962" s="37" t="s">
        <v>132</v>
      </c>
      <c r="C962" s="37" t="s">
        <v>471</v>
      </c>
      <c r="D962" s="37" t="s">
        <v>176</v>
      </c>
      <c r="E962" s="38">
        <v>819</v>
      </c>
      <c r="F962" s="38">
        <f>E962</f>
        <v>819</v>
      </c>
      <c r="G962" s="38">
        <v>270.1</v>
      </c>
      <c r="H962" s="38">
        <f>G962</f>
        <v>270.1</v>
      </c>
      <c r="I962" s="119"/>
    </row>
    <row r="963" spans="1:9" ht="24.75" customHeight="1">
      <c r="A963" s="49" t="s">
        <v>408</v>
      </c>
      <c r="B963" s="37" t="s">
        <v>132</v>
      </c>
      <c r="C963" s="37" t="s">
        <v>471</v>
      </c>
      <c r="D963" s="37" t="s">
        <v>360</v>
      </c>
      <c r="E963" s="38">
        <f>E964</f>
        <v>81922</v>
      </c>
      <c r="F963" s="38">
        <f>F964</f>
        <v>81922</v>
      </c>
      <c r="G963" s="38">
        <f>G964</f>
        <v>36197</v>
      </c>
      <c r="H963" s="38">
        <f>H964</f>
        <v>36197</v>
      </c>
      <c r="I963" s="119"/>
    </row>
    <row r="964" spans="1:9" ht="25.5" customHeight="1">
      <c r="A964" s="49" t="s">
        <v>413</v>
      </c>
      <c r="B964" s="37" t="s">
        <v>132</v>
      </c>
      <c r="C964" s="37" t="s">
        <v>471</v>
      </c>
      <c r="D964" s="37" t="s">
        <v>412</v>
      </c>
      <c r="E964" s="38">
        <v>81922</v>
      </c>
      <c r="F964" s="38">
        <f>E964</f>
        <v>81922</v>
      </c>
      <c r="G964" s="38">
        <v>36197</v>
      </c>
      <c r="H964" s="38">
        <f>G964</f>
        <v>36197</v>
      </c>
      <c r="I964" s="119"/>
    </row>
    <row r="965" spans="1:9" ht="40.5" customHeight="1">
      <c r="A965" s="58" t="s">
        <v>6</v>
      </c>
      <c r="B965" s="37" t="s">
        <v>132</v>
      </c>
      <c r="C965" s="37" t="s">
        <v>181</v>
      </c>
      <c r="D965" s="37"/>
      <c r="E965" s="38">
        <f aca="true" t="shared" si="48" ref="E965:H968">E966</f>
        <v>63647</v>
      </c>
      <c r="F965" s="38">
        <f t="shared" si="48"/>
        <v>63647</v>
      </c>
      <c r="G965" s="38">
        <f t="shared" si="48"/>
        <v>14315.6</v>
      </c>
      <c r="H965" s="38">
        <f t="shared" si="48"/>
        <v>14315.6</v>
      </c>
      <c r="I965" s="119"/>
    </row>
    <row r="966" spans="1:9" ht="48" customHeight="1">
      <c r="A966" s="58" t="s">
        <v>311</v>
      </c>
      <c r="B966" s="37" t="s">
        <v>132</v>
      </c>
      <c r="C966" s="37" t="s">
        <v>312</v>
      </c>
      <c r="D966" s="37"/>
      <c r="E966" s="38">
        <f>E967</f>
        <v>63647</v>
      </c>
      <c r="F966" s="38">
        <f t="shared" si="48"/>
        <v>63647</v>
      </c>
      <c r="G966" s="38">
        <f>G967</f>
        <v>14315.6</v>
      </c>
      <c r="H966" s="38">
        <f t="shared" si="48"/>
        <v>14315.6</v>
      </c>
      <c r="I966" s="119"/>
    </row>
    <row r="967" spans="1:9" ht="75.75" customHeight="1">
      <c r="A967" s="39" t="s">
        <v>660</v>
      </c>
      <c r="B967" s="37" t="s">
        <v>132</v>
      </c>
      <c r="C967" s="37" t="s">
        <v>473</v>
      </c>
      <c r="D967" s="37"/>
      <c r="E967" s="38">
        <f t="shared" si="48"/>
        <v>63647</v>
      </c>
      <c r="F967" s="38">
        <f t="shared" si="48"/>
        <v>63647</v>
      </c>
      <c r="G967" s="38">
        <f t="shared" si="48"/>
        <v>14315.6</v>
      </c>
      <c r="H967" s="38">
        <f t="shared" si="48"/>
        <v>14315.6</v>
      </c>
      <c r="I967" s="119"/>
    </row>
    <row r="968" spans="1:9" ht="36" customHeight="1">
      <c r="A968" s="44" t="s">
        <v>339</v>
      </c>
      <c r="B968" s="37" t="s">
        <v>132</v>
      </c>
      <c r="C968" s="37" t="s">
        <v>473</v>
      </c>
      <c r="D968" s="37" t="s">
        <v>409</v>
      </c>
      <c r="E968" s="38">
        <f t="shared" si="48"/>
        <v>63647</v>
      </c>
      <c r="F968" s="38">
        <f t="shared" si="48"/>
        <v>63647</v>
      </c>
      <c r="G968" s="38">
        <f t="shared" si="48"/>
        <v>14315.6</v>
      </c>
      <c r="H968" s="38">
        <f t="shared" si="48"/>
        <v>14315.6</v>
      </c>
      <c r="I968" s="119"/>
    </row>
    <row r="969" spans="1:9" ht="27" customHeight="1">
      <c r="A969" s="39" t="s">
        <v>410</v>
      </c>
      <c r="B969" s="37" t="s">
        <v>132</v>
      </c>
      <c r="C969" s="37" t="s">
        <v>473</v>
      </c>
      <c r="D969" s="37" t="s">
        <v>414</v>
      </c>
      <c r="E969" s="38">
        <f>50007+13640</f>
        <v>63647</v>
      </c>
      <c r="F969" s="38">
        <f>E969</f>
        <v>63647</v>
      </c>
      <c r="G969" s="38">
        <v>14315.6</v>
      </c>
      <c r="H969" s="38">
        <f>G969</f>
        <v>14315.6</v>
      </c>
      <c r="I969" s="119"/>
    </row>
    <row r="970" spans="1:9" s="4" customFormat="1" ht="22.5" customHeight="1">
      <c r="A970" s="19" t="s">
        <v>64</v>
      </c>
      <c r="B970" s="17" t="s">
        <v>85</v>
      </c>
      <c r="C970" s="17"/>
      <c r="D970" s="17"/>
      <c r="E970" s="18">
        <f>E971+E1014</f>
        <v>197933.30000000002</v>
      </c>
      <c r="F970" s="18">
        <f>F971+F1014</f>
        <v>36608.4</v>
      </c>
      <c r="G970" s="18">
        <f>G971+G1014</f>
        <v>70240.7</v>
      </c>
      <c r="H970" s="18">
        <f>H971+H1014</f>
        <v>0</v>
      </c>
      <c r="I970" s="18">
        <f>G970/E970*100</f>
        <v>35.48705548788404</v>
      </c>
    </row>
    <row r="971" spans="1:9" ht="18.75" customHeight="1">
      <c r="A971" s="57" t="s">
        <v>72</v>
      </c>
      <c r="B971" s="61" t="s">
        <v>73</v>
      </c>
      <c r="C971" s="61"/>
      <c r="D971" s="63"/>
      <c r="E971" s="11">
        <f>E972</f>
        <v>197333.30000000002</v>
      </c>
      <c r="F971" s="11">
        <f>F972</f>
        <v>36179.4</v>
      </c>
      <c r="G971" s="11">
        <f>G972</f>
        <v>70240.7</v>
      </c>
      <c r="H971" s="11">
        <f>H972</f>
        <v>0</v>
      </c>
      <c r="I971" s="119"/>
    </row>
    <row r="972" spans="1:9" ht="57" customHeight="1">
      <c r="A972" s="50" t="s">
        <v>284</v>
      </c>
      <c r="B972" s="37" t="s">
        <v>73</v>
      </c>
      <c r="C972" s="8" t="s">
        <v>380</v>
      </c>
      <c r="D972" s="8"/>
      <c r="E972" s="38">
        <f>E973+E1003</f>
        <v>197333.30000000002</v>
      </c>
      <c r="F972" s="38">
        <f>F973+F1003</f>
        <v>36179.4</v>
      </c>
      <c r="G972" s="38">
        <f>G973+G1003</f>
        <v>70240.7</v>
      </c>
      <c r="H972" s="38">
        <f>H973+H1003</f>
        <v>0</v>
      </c>
      <c r="I972" s="119"/>
    </row>
    <row r="973" spans="1:9" ht="22.5" customHeight="1">
      <c r="A973" s="58" t="s">
        <v>293</v>
      </c>
      <c r="B973" s="37" t="s">
        <v>73</v>
      </c>
      <c r="C973" s="37" t="s">
        <v>407</v>
      </c>
      <c r="D973" s="37"/>
      <c r="E973" s="38">
        <f>E974+E996+E981</f>
        <v>163255.6</v>
      </c>
      <c r="F973" s="38">
        <f>F974+F996</f>
        <v>2200</v>
      </c>
      <c r="G973" s="38">
        <f>G974+G996+G981</f>
        <v>70143.3</v>
      </c>
      <c r="H973" s="38">
        <f>H974+H996</f>
        <v>0</v>
      </c>
      <c r="I973" s="119"/>
    </row>
    <row r="974" spans="1:9" ht="36" customHeight="1">
      <c r="A974" s="58" t="s">
        <v>320</v>
      </c>
      <c r="B974" s="37" t="s">
        <v>73</v>
      </c>
      <c r="C974" s="8" t="s">
        <v>321</v>
      </c>
      <c r="D974" s="8"/>
      <c r="E974" s="38">
        <f>E975+E978+E987+E993+E984+E990</f>
        <v>149557.7</v>
      </c>
      <c r="F974" s="38">
        <f>F975+F978+F987+F993+F984+F990</f>
        <v>1000</v>
      </c>
      <c r="G974" s="38">
        <f>G975+G978+G987+G993+G984+G990</f>
        <v>60643.3</v>
      </c>
      <c r="H974" s="38">
        <f>H975+H978+H987+H993+H984+H990</f>
        <v>0</v>
      </c>
      <c r="I974" s="119"/>
    </row>
    <row r="975" spans="1:9" ht="36" customHeight="1">
      <c r="A975" s="58" t="s">
        <v>268</v>
      </c>
      <c r="B975" s="37" t="s">
        <v>73</v>
      </c>
      <c r="C975" s="8" t="s">
        <v>317</v>
      </c>
      <c r="D975" s="8"/>
      <c r="E975" s="38">
        <f>E976</f>
        <v>4778</v>
      </c>
      <c r="F975" s="38"/>
      <c r="G975" s="38">
        <f>G976</f>
        <v>3022.2</v>
      </c>
      <c r="H975" s="38"/>
      <c r="I975" s="119"/>
    </row>
    <row r="976" spans="1:9" ht="36" customHeight="1">
      <c r="A976" s="58" t="s">
        <v>352</v>
      </c>
      <c r="B976" s="37" t="s">
        <v>73</v>
      </c>
      <c r="C976" s="8" t="s">
        <v>317</v>
      </c>
      <c r="D976" s="8" t="s">
        <v>351</v>
      </c>
      <c r="E976" s="38">
        <f>E977</f>
        <v>4778</v>
      </c>
      <c r="F976" s="38"/>
      <c r="G976" s="38">
        <f>G977</f>
        <v>3022.2</v>
      </c>
      <c r="H976" s="38"/>
      <c r="I976" s="119"/>
    </row>
    <row r="977" spans="1:9" ht="24.75" customHeight="1">
      <c r="A977" s="58" t="s">
        <v>350</v>
      </c>
      <c r="B977" s="37" t="s">
        <v>73</v>
      </c>
      <c r="C977" s="8" t="s">
        <v>317</v>
      </c>
      <c r="D977" s="8" t="s">
        <v>349</v>
      </c>
      <c r="E977" s="38">
        <f>4778</f>
        <v>4778</v>
      </c>
      <c r="F977" s="38"/>
      <c r="G977" s="38">
        <v>3022.2</v>
      </c>
      <c r="H977" s="38"/>
      <c r="I977" s="119"/>
    </row>
    <row r="978" spans="1:9" ht="36" customHeight="1">
      <c r="A978" s="58" t="s">
        <v>269</v>
      </c>
      <c r="B978" s="37" t="s">
        <v>73</v>
      </c>
      <c r="C978" s="8" t="s">
        <v>318</v>
      </c>
      <c r="D978" s="8"/>
      <c r="E978" s="38">
        <f>E979</f>
        <v>32487.2</v>
      </c>
      <c r="F978" s="38"/>
      <c r="G978" s="38">
        <f>G979</f>
        <v>12221.1</v>
      </c>
      <c r="H978" s="38"/>
      <c r="I978" s="119"/>
    </row>
    <row r="979" spans="1:9" ht="40.5" customHeight="1">
      <c r="A979" s="58" t="s">
        <v>352</v>
      </c>
      <c r="B979" s="37" t="s">
        <v>73</v>
      </c>
      <c r="C979" s="8" t="s">
        <v>318</v>
      </c>
      <c r="D979" s="8" t="s">
        <v>351</v>
      </c>
      <c r="E979" s="38">
        <f>E980</f>
        <v>32487.2</v>
      </c>
      <c r="F979" s="38"/>
      <c r="G979" s="38">
        <f>G980</f>
        <v>12221.1</v>
      </c>
      <c r="H979" s="38"/>
      <c r="I979" s="119"/>
    </row>
    <row r="980" spans="1:9" ht="20.25" customHeight="1">
      <c r="A980" s="58" t="s">
        <v>355</v>
      </c>
      <c r="B980" s="37" t="s">
        <v>73</v>
      </c>
      <c r="C980" s="8" t="s">
        <v>318</v>
      </c>
      <c r="D980" s="8" t="s">
        <v>354</v>
      </c>
      <c r="E980" s="38">
        <f>32658.2-171</f>
        <v>32487.2</v>
      </c>
      <c r="F980" s="38"/>
      <c r="G980" s="38">
        <v>12221.1</v>
      </c>
      <c r="H980" s="38"/>
      <c r="I980" s="119"/>
    </row>
    <row r="981" spans="1:9" ht="45.75" customHeight="1">
      <c r="A981" s="58" t="s">
        <v>711</v>
      </c>
      <c r="B981" s="37" t="s">
        <v>73</v>
      </c>
      <c r="C981" s="8" t="s">
        <v>710</v>
      </c>
      <c r="D981" s="8"/>
      <c r="E981" s="38">
        <f>E982</f>
        <v>418.9</v>
      </c>
      <c r="F981" s="38"/>
      <c r="G981" s="38">
        <f>G982</f>
        <v>0</v>
      </c>
      <c r="H981" s="38"/>
      <c r="I981" s="119"/>
    </row>
    <row r="982" spans="1:9" ht="28.5" customHeight="1">
      <c r="A982" s="58" t="s">
        <v>352</v>
      </c>
      <c r="B982" s="37" t="s">
        <v>73</v>
      </c>
      <c r="C982" s="8" t="s">
        <v>710</v>
      </c>
      <c r="D982" s="8" t="s">
        <v>351</v>
      </c>
      <c r="E982" s="38">
        <f>E983</f>
        <v>418.9</v>
      </c>
      <c r="F982" s="38"/>
      <c r="G982" s="38">
        <f>G983</f>
        <v>0</v>
      </c>
      <c r="H982" s="38"/>
      <c r="I982" s="119"/>
    </row>
    <row r="983" spans="1:9" ht="20.25" customHeight="1">
      <c r="A983" s="40" t="s">
        <v>350</v>
      </c>
      <c r="B983" s="37" t="s">
        <v>73</v>
      </c>
      <c r="C983" s="8" t="s">
        <v>710</v>
      </c>
      <c r="D983" s="8" t="s">
        <v>349</v>
      </c>
      <c r="E983" s="38">
        <v>418.9</v>
      </c>
      <c r="F983" s="38"/>
      <c r="G983" s="38">
        <v>0</v>
      </c>
      <c r="H983" s="38"/>
      <c r="I983" s="119"/>
    </row>
    <row r="984" spans="1:9" ht="48" customHeight="1">
      <c r="A984" s="49" t="s">
        <v>597</v>
      </c>
      <c r="B984" s="37" t="s">
        <v>73</v>
      </c>
      <c r="C984" s="37" t="s">
        <v>602</v>
      </c>
      <c r="D984" s="35"/>
      <c r="E984" s="42">
        <f aca="true" t="shared" si="49" ref="E984:H985">E985</f>
        <v>400</v>
      </c>
      <c r="F984" s="42">
        <f t="shared" si="49"/>
        <v>400</v>
      </c>
      <c r="G984" s="42">
        <f t="shared" si="49"/>
        <v>0</v>
      </c>
      <c r="H984" s="42">
        <f t="shared" si="49"/>
        <v>0</v>
      </c>
      <c r="I984" s="119"/>
    </row>
    <row r="985" spans="1:9" ht="31.5" customHeight="1">
      <c r="A985" s="58" t="s">
        <v>352</v>
      </c>
      <c r="B985" s="37" t="s">
        <v>73</v>
      </c>
      <c r="C985" s="37" t="s">
        <v>602</v>
      </c>
      <c r="D985" s="35" t="s">
        <v>351</v>
      </c>
      <c r="E985" s="42">
        <f t="shared" si="49"/>
        <v>400</v>
      </c>
      <c r="F985" s="42">
        <f t="shared" si="49"/>
        <v>400</v>
      </c>
      <c r="G985" s="42">
        <f t="shared" si="49"/>
        <v>0</v>
      </c>
      <c r="H985" s="42">
        <f t="shared" si="49"/>
        <v>0</v>
      </c>
      <c r="I985" s="119"/>
    </row>
    <row r="986" spans="1:9" ht="20.25" customHeight="1">
      <c r="A986" s="40" t="s">
        <v>350</v>
      </c>
      <c r="B986" s="37" t="s">
        <v>73</v>
      </c>
      <c r="C986" s="37" t="s">
        <v>602</v>
      </c>
      <c r="D986" s="35" t="s">
        <v>349</v>
      </c>
      <c r="E986" s="42">
        <f>400</f>
        <v>400</v>
      </c>
      <c r="F986" s="42">
        <f>E986</f>
        <v>400</v>
      </c>
      <c r="G986" s="42">
        <v>0</v>
      </c>
      <c r="H986" s="42">
        <f>G986</f>
        <v>0</v>
      </c>
      <c r="I986" s="119"/>
    </row>
    <row r="987" spans="1:9" ht="31.5" customHeight="1">
      <c r="A987" s="58" t="s">
        <v>335</v>
      </c>
      <c r="B987" s="37" t="s">
        <v>73</v>
      </c>
      <c r="C987" s="8" t="s">
        <v>319</v>
      </c>
      <c r="D987" s="8"/>
      <c r="E987" s="38">
        <f>E988</f>
        <v>103602.5</v>
      </c>
      <c r="F987" s="38">
        <f>F988</f>
        <v>0</v>
      </c>
      <c r="G987" s="38">
        <f>G988</f>
        <v>45400</v>
      </c>
      <c r="H987" s="38">
        <f>H988</f>
        <v>0</v>
      </c>
      <c r="I987" s="119"/>
    </row>
    <row r="988" spans="1:9" ht="31.5" customHeight="1">
      <c r="A988" s="58" t="s">
        <v>352</v>
      </c>
      <c r="B988" s="37" t="s">
        <v>73</v>
      </c>
      <c r="C988" s="8" t="s">
        <v>319</v>
      </c>
      <c r="D988" s="8" t="s">
        <v>351</v>
      </c>
      <c r="E988" s="38">
        <f>E989</f>
        <v>103602.5</v>
      </c>
      <c r="F988" s="38"/>
      <c r="G988" s="38">
        <f>G989</f>
        <v>45400</v>
      </c>
      <c r="H988" s="38"/>
      <c r="I988" s="119"/>
    </row>
    <row r="989" spans="1:9" ht="19.5" customHeight="1">
      <c r="A989" s="58" t="s">
        <v>350</v>
      </c>
      <c r="B989" s="37" t="s">
        <v>73</v>
      </c>
      <c r="C989" s="8" t="s">
        <v>319</v>
      </c>
      <c r="D989" s="8" t="s">
        <v>349</v>
      </c>
      <c r="E989" s="38">
        <f>103442.5+160</f>
        <v>103602.5</v>
      </c>
      <c r="F989" s="38"/>
      <c r="G989" s="38">
        <v>45400</v>
      </c>
      <c r="H989" s="38"/>
      <c r="I989" s="119"/>
    </row>
    <row r="990" spans="1:9" ht="48" customHeight="1">
      <c r="A990" s="49" t="s">
        <v>597</v>
      </c>
      <c r="B990" s="37" t="s">
        <v>73</v>
      </c>
      <c r="C990" s="37" t="s">
        <v>603</v>
      </c>
      <c r="D990" s="35"/>
      <c r="E990" s="42">
        <f aca="true" t="shared" si="50" ref="E990:H991">E991</f>
        <v>600</v>
      </c>
      <c r="F990" s="42">
        <f t="shared" si="50"/>
        <v>600</v>
      </c>
      <c r="G990" s="42">
        <f t="shared" si="50"/>
        <v>0</v>
      </c>
      <c r="H990" s="42">
        <f t="shared" si="50"/>
        <v>0</v>
      </c>
      <c r="I990" s="119"/>
    </row>
    <row r="991" spans="1:9" ht="30.75" customHeight="1">
      <c r="A991" s="58" t="s">
        <v>352</v>
      </c>
      <c r="B991" s="37" t="s">
        <v>73</v>
      </c>
      <c r="C991" s="37" t="s">
        <v>603</v>
      </c>
      <c r="D991" s="35" t="s">
        <v>351</v>
      </c>
      <c r="E991" s="42">
        <f t="shared" si="50"/>
        <v>600</v>
      </c>
      <c r="F991" s="42">
        <f t="shared" si="50"/>
        <v>600</v>
      </c>
      <c r="G991" s="42">
        <f t="shared" si="50"/>
        <v>0</v>
      </c>
      <c r="H991" s="42">
        <f t="shared" si="50"/>
        <v>0</v>
      </c>
      <c r="I991" s="119"/>
    </row>
    <row r="992" spans="1:9" ht="19.5" customHeight="1">
      <c r="A992" s="40" t="s">
        <v>350</v>
      </c>
      <c r="B992" s="37" t="s">
        <v>73</v>
      </c>
      <c r="C992" s="37" t="s">
        <v>603</v>
      </c>
      <c r="D992" s="35" t="s">
        <v>349</v>
      </c>
      <c r="E992" s="42">
        <f>200+300+100</f>
        <v>600</v>
      </c>
      <c r="F992" s="42">
        <f>E992</f>
        <v>600</v>
      </c>
      <c r="G992" s="42">
        <v>0</v>
      </c>
      <c r="H992" s="42">
        <f>G992</f>
        <v>0</v>
      </c>
      <c r="I992" s="119"/>
    </row>
    <row r="993" spans="1:9" ht="26.25" customHeight="1">
      <c r="A993" s="40" t="s">
        <v>411</v>
      </c>
      <c r="B993" s="37" t="s">
        <v>73</v>
      </c>
      <c r="C993" s="8" t="s">
        <v>453</v>
      </c>
      <c r="D993" s="8"/>
      <c r="E993" s="38">
        <f>E994</f>
        <v>7690</v>
      </c>
      <c r="F993" s="38">
        <f>F994</f>
        <v>0</v>
      </c>
      <c r="G993" s="38">
        <f>G994</f>
        <v>0</v>
      </c>
      <c r="H993" s="38">
        <f>H994</f>
        <v>0</v>
      </c>
      <c r="I993" s="119"/>
    </row>
    <row r="994" spans="1:9" ht="33" customHeight="1">
      <c r="A994" s="58" t="s">
        <v>352</v>
      </c>
      <c r="B994" s="37" t="s">
        <v>73</v>
      </c>
      <c r="C994" s="8" t="s">
        <v>453</v>
      </c>
      <c r="D994" s="8" t="s">
        <v>351</v>
      </c>
      <c r="E994" s="38">
        <f>E995</f>
        <v>7690</v>
      </c>
      <c r="F994" s="38"/>
      <c r="G994" s="38">
        <f>G995</f>
        <v>0</v>
      </c>
      <c r="H994" s="38"/>
      <c r="I994" s="119"/>
    </row>
    <row r="995" spans="1:9" ht="19.5" customHeight="1">
      <c r="A995" s="58" t="s">
        <v>350</v>
      </c>
      <c r="B995" s="37" t="s">
        <v>73</v>
      </c>
      <c r="C995" s="8" t="s">
        <v>453</v>
      </c>
      <c r="D995" s="8" t="s">
        <v>349</v>
      </c>
      <c r="E995" s="38">
        <f>2250-0.2-59.8+5500</f>
        <v>7690</v>
      </c>
      <c r="F995" s="38"/>
      <c r="G995" s="38">
        <v>0</v>
      </c>
      <c r="H995" s="38"/>
      <c r="I995" s="119"/>
    </row>
    <row r="996" spans="1:9" ht="30.75" customHeight="1">
      <c r="A996" s="58" t="s">
        <v>315</v>
      </c>
      <c r="B996" s="37" t="s">
        <v>73</v>
      </c>
      <c r="C996" s="8" t="s">
        <v>314</v>
      </c>
      <c r="D996" s="8"/>
      <c r="E996" s="38">
        <f>E1000+E997</f>
        <v>13279</v>
      </c>
      <c r="F996" s="38">
        <f>F1000+F997</f>
        <v>1200</v>
      </c>
      <c r="G996" s="38">
        <f>G1000+G997</f>
        <v>9500</v>
      </c>
      <c r="H996" s="38">
        <f>H1000+H997</f>
        <v>0</v>
      </c>
      <c r="I996" s="119"/>
    </row>
    <row r="997" spans="1:9" ht="45" customHeight="1">
      <c r="A997" s="49" t="s">
        <v>597</v>
      </c>
      <c r="B997" s="37" t="s">
        <v>73</v>
      </c>
      <c r="C997" s="37" t="s">
        <v>601</v>
      </c>
      <c r="D997" s="35"/>
      <c r="E997" s="42">
        <f aca="true" t="shared" si="51" ref="E997:H998">E998</f>
        <v>1200</v>
      </c>
      <c r="F997" s="42">
        <f t="shared" si="51"/>
        <v>1200</v>
      </c>
      <c r="G997" s="42">
        <f t="shared" si="51"/>
        <v>0</v>
      </c>
      <c r="H997" s="42">
        <f t="shared" si="51"/>
        <v>0</v>
      </c>
      <c r="I997" s="119"/>
    </row>
    <row r="998" spans="1:9" ht="30.75" customHeight="1">
      <c r="A998" s="58" t="s">
        <v>352</v>
      </c>
      <c r="B998" s="37" t="s">
        <v>73</v>
      </c>
      <c r="C998" s="37" t="s">
        <v>601</v>
      </c>
      <c r="D998" s="35" t="s">
        <v>351</v>
      </c>
      <c r="E998" s="42">
        <f t="shared" si="51"/>
        <v>1200</v>
      </c>
      <c r="F998" s="42">
        <f t="shared" si="51"/>
        <v>1200</v>
      </c>
      <c r="G998" s="42">
        <f t="shared" si="51"/>
        <v>0</v>
      </c>
      <c r="H998" s="42">
        <f t="shared" si="51"/>
        <v>0</v>
      </c>
      <c r="I998" s="119"/>
    </row>
    <row r="999" spans="1:9" ht="21" customHeight="1">
      <c r="A999" s="40" t="s">
        <v>350</v>
      </c>
      <c r="B999" s="37" t="s">
        <v>73</v>
      </c>
      <c r="C999" s="37" t="s">
        <v>601</v>
      </c>
      <c r="D999" s="35" t="s">
        <v>349</v>
      </c>
      <c r="E999" s="42">
        <v>1200</v>
      </c>
      <c r="F999" s="42">
        <f>E999</f>
        <v>1200</v>
      </c>
      <c r="G999" s="42">
        <v>0</v>
      </c>
      <c r="H999" s="42">
        <f>G999</f>
        <v>0</v>
      </c>
      <c r="I999" s="119"/>
    </row>
    <row r="1000" spans="1:9" ht="18.75" customHeight="1">
      <c r="A1000" s="58" t="s">
        <v>169</v>
      </c>
      <c r="B1000" s="37" t="s">
        <v>73</v>
      </c>
      <c r="C1000" s="8" t="s">
        <v>316</v>
      </c>
      <c r="D1000" s="8"/>
      <c r="E1000" s="38">
        <f>E1001</f>
        <v>12079</v>
      </c>
      <c r="F1000" s="38"/>
      <c r="G1000" s="38">
        <f>G1001</f>
        <v>9500</v>
      </c>
      <c r="H1000" s="38"/>
      <c r="I1000" s="119"/>
    </row>
    <row r="1001" spans="1:9" ht="30.75" customHeight="1">
      <c r="A1001" s="58" t="s">
        <v>352</v>
      </c>
      <c r="B1001" s="37" t="s">
        <v>73</v>
      </c>
      <c r="C1001" s="8" t="s">
        <v>316</v>
      </c>
      <c r="D1001" s="8" t="s">
        <v>351</v>
      </c>
      <c r="E1001" s="38">
        <f>E1002</f>
        <v>12079</v>
      </c>
      <c r="F1001" s="38"/>
      <c r="G1001" s="38">
        <f>G1002</f>
        <v>9500</v>
      </c>
      <c r="H1001" s="38"/>
      <c r="I1001" s="119"/>
    </row>
    <row r="1002" spans="1:9" ht="21" customHeight="1">
      <c r="A1002" s="58" t="s">
        <v>350</v>
      </c>
      <c r="B1002" s="37" t="s">
        <v>73</v>
      </c>
      <c r="C1002" s="8" t="s">
        <v>316</v>
      </c>
      <c r="D1002" s="8" t="s">
        <v>349</v>
      </c>
      <c r="E1002" s="38">
        <f>11387+292+400</f>
        <v>12079</v>
      </c>
      <c r="F1002" s="38"/>
      <c r="G1002" s="38">
        <v>9500</v>
      </c>
      <c r="H1002" s="38"/>
      <c r="I1002" s="119"/>
    </row>
    <row r="1003" spans="1:9" ht="31.5" customHeight="1">
      <c r="A1003" s="58" t="s">
        <v>636</v>
      </c>
      <c r="B1003" s="37" t="s">
        <v>73</v>
      </c>
      <c r="C1003" s="8" t="s">
        <v>637</v>
      </c>
      <c r="D1003" s="8"/>
      <c r="E1003" s="38">
        <f>E1004</f>
        <v>34077.700000000004</v>
      </c>
      <c r="F1003" s="38">
        <f>F1004</f>
        <v>33979.4</v>
      </c>
      <c r="G1003" s="38">
        <f>G1004</f>
        <v>97.4</v>
      </c>
      <c r="H1003" s="38">
        <f>H1004</f>
        <v>0</v>
      </c>
      <c r="I1003" s="119"/>
    </row>
    <row r="1004" spans="1:9" ht="33.75" customHeight="1">
      <c r="A1004" s="58" t="s">
        <v>638</v>
      </c>
      <c r="B1004" s="37" t="s">
        <v>73</v>
      </c>
      <c r="C1004" s="8" t="s">
        <v>639</v>
      </c>
      <c r="D1004" s="8"/>
      <c r="E1004" s="38">
        <f>E1011+E1005+E1008</f>
        <v>34077.700000000004</v>
      </c>
      <c r="F1004" s="38">
        <f>F1011+F1005</f>
        <v>33979.4</v>
      </c>
      <c r="G1004" s="38">
        <f>G1011+G1005+G1008</f>
        <v>97.4</v>
      </c>
      <c r="H1004" s="38">
        <f>H1011+H1005</f>
        <v>0</v>
      </c>
      <c r="I1004" s="119"/>
    </row>
    <row r="1005" spans="1:9" ht="33.75" customHeight="1">
      <c r="A1005" s="58" t="s">
        <v>688</v>
      </c>
      <c r="B1005" s="37" t="s">
        <v>73</v>
      </c>
      <c r="C1005" s="8" t="s">
        <v>640</v>
      </c>
      <c r="D1005" s="8"/>
      <c r="E1005" s="38">
        <f aca="true" t="shared" si="52" ref="E1005:H1006">E1006</f>
        <v>33979.4</v>
      </c>
      <c r="F1005" s="38">
        <f t="shared" si="52"/>
        <v>33979.4</v>
      </c>
      <c r="G1005" s="38">
        <f t="shared" si="52"/>
        <v>0</v>
      </c>
      <c r="H1005" s="38">
        <f t="shared" si="52"/>
        <v>0</v>
      </c>
      <c r="I1005" s="119"/>
    </row>
    <row r="1006" spans="1:9" ht="34.5" customHeight="1">
      <c r="A1006" s="58" t="s">
        <v>641</v>
      </c>
      <c r="B1006" s="37" t="s">
        <v>73</v>
      </c>
      <c r="C1006" s="8" t="s">
        <v>640</v>
      </c>
      <c r="D1006" s="8" t="s">
        <v>409</v>
      </c>
      <c r="E1006" s="38">
        <f t="shared" si="52"/>
        <v>33979.4</v>
      </c>
      <c r="F1006" s="38">
        <f t="shared" si="52"/>
        <v>33979.4</v>
      </c>
      <c r="G1006" s="38">
        <f t="shared" si="52"/>
        <v>0</v>
      </c>
      <c r="H1006" s="38">
        <f t="shared" si="52"/>
        <v>0</v>
      </c>
      <c r="I1006" s="119"/>
    </row>
    <row r="1007" spans="1:9" ht="105.75" customHeight="1">
      <c r="A1007" s="105" t="s">
        <v>8</v>
      </c>
      <c r="B1007" s="37" t="s">
        <v>73</v>
      </c>
      <c r="C1007" s="8" t="s">
        <v>640</v>
      </c>
      <c r="D1007" s="8" t="s">
        <v>7</v>
      </c>
      <c r="E1007" s="38">
        <f>33979.4</f>
        <v>33979.4</v>
      </c>
      <c r="F1007" s="38">
        <f>E1007</f>
        <v>33979.4</v>
      </c>
      <c r="G1007" s="38">
        <v>0</v>
      </c>
      <c r="H1007" s="38">
        <f>G1007</f>
        <v>0</v>
      </c>
      <c r="I1007" s="119"/>
    </row>
    <row r="1008" spans="1:9" ht="31.5" customHeight="1">
      <c r="A1008" s="58" t="s">
        <v>689</v>
      </c>
      <c r="B1008" s="37" t="s">
        <v>73</v>
      </c>
      <c r="C1008" s="8" t="s">
        <v>643</v>
      </c>
      <c r="D1008" s="8"/>
      <c r="E1008" s="38">
        <f>E1009</f>
        <v>60</v>
      </c>
      <c r="F1008" s="38"/>
      <c r="G1008" s="38">
        <f>G1009</f>
        <v>59.1</v>
      </c>
      <c r="H1008" s="38"/>
      <c r="I1008" s="119"/>
    </row>
    <row r="1009" spans="1:9" ht="30.75" customHeight="1">
      <c r="A1009" s="58" t="s">
        <v>641</v>
      </c>
      <c r="B1009" s="37" t="s">
        <v>73</v>
      </c>
      <c r="C1009" s="8" t="s">
        <v>643</v>
      </c>
      <c r="D1009" s="8" t="s">
        <v>409</v>
      </c>
      <c r="E1009" s="38">
        <f>E1010</f>
        <v>60</v>
      </c>
      <c r="F1009" s="38"/>
      <c r="G1009" s="38">
        <f>G1010</f>
        <v>59.1</v>
      </c>
      <c r="H1009" s="38"/>
      <c r="I1009" s="119"/>
    </row>
    <row r="1010" spans="1:9" ht="109.5" customHeight="1">
      <c r="A1010" s="105" t="s">
        <v>8</v>
      </c>
      <c r="B1010" s="37" t="s">
        <v>73</v>
      </c>
      <c r="C1010" s="8" t="s">
        <v>643</v>
      </c>
      <c r="D1010" s="8" t="s">
        <v>7</v>
      </c>
      <c r="E1010" s="38">
        <f>0.2+59.8</f>
        <v>60</v>
      </c>
      <c r="F1010" s="38"/>
      <c r="G1010" s="38">
        <v>59.1</v>
      </c>
      <c r="H1010" s="38"/>
      <c r="I1010" s="119"/>
    </row>
    <row r="1011" spans="1:9" ht="34.5" customHeight="1">
      <c r="A1011" s="58" t="s">
        <v>690</v>
      </c>
      <c r="B1011" s="37" t="s">
        <v>73</v>
      </c>
      <c r="C1011" s="8" t="s">
        <v>642</v>
      </c>
      <c r="D1011" s="8"/>
      <c r="E1011" s="38">
        <f>E1012</f>
        <v>38.3</v>
      </c>
      <c r="F1011" s="38"/>
      <c r="G1011" s="38">
        <f>G1012</f>
        <v>38.3</v>
      </c>
      <c r="H1011" s="38"/>
      <c r="I1011" s="119"/>
    </row>
    <row r="1012" spans="1:9" ht="36.75" customHeight="1">
      <c r="A1012" s="54" t="s">
        <v>641</v>
      </c>
      <c r="B1012" s="37" t="s">
        <v>73</v>
      </c>
      <c r="C1012" s="8" t="s">
        <v>642</v>
      </c>
      <c r="D1012" s="8" t="s">
        <v>409</v>
      </c>
      <c r="E1012" s="38">
        <f>E1013</f>
        <v>38.3</v>
      </c>
      <c r="F1012" s="38"/>
      <c r="G1012" s="38">
        <f>G1013</f>
        <v>38.3</v>
      </c>
      <c r="H1012" s="38"/>
      <c r="I1012" s="119"/>
    </row>
    <row r="1013" spans="1:9" ht="105.75" customHeight="1">
      <c r="A1013" s="54" t="s">
        <v>8</v>
      </c>
      <c r="B1013" s="37" t="s">
        <v>73</v>
      </c>
      <c r="C1013" s="8" t="s">
        <v>642</v>
      </c>
      <c r="D1013" s="8" t="s">
        <v>7</v>
      </c>
      <c r="E1013" s="38">
        <f>38.3</f>
        <v>38.3</v>
      </c>
      <c r="F1013" s="38"/>
      <c r="G1013" s="38">
        <v>38.3</v>
      </c>
      <c r="H1013" s="38"/>
      <c r="I1013" s="119"/>
    </row>
    <row r="1014" spans="1:9" ht="18.75" customHeight="1">
      <c r="A1014" s="19" t="s">
        <v>666</v>
      </c>
      <c r="B1014" s="17" t="s">
        <v>665</v>
      </c>
      <c r="C1014" s="17"/>
      <c r="D1014" s="17"/>
      <c r="E1014" s="18">
        <f>E1015</f>
        <v>600</v>
      </c>
      <c r="F1014" s="18">
        <f>F1015</f>
        <v>429</v>
      </c>
      <c r="G1014" s="18">
        <f>G1015</f>
        <v>0</v>
      </c>
      <c r="H1014" s="18">
        <f>H1015</f>
        <v>0</v>
      </c>
      <c r="I1014" s="119"/>
    </row>
    <row r="1015" spans="1:9" ht="32.25" customHeight="1">
      <c r="A1015" s="58" t="s">
        <v>636</v>
      </c>
      <c r="B1015" s="37" t="s">
        <v>665</v>
      </c>
      <c r="C1015" s="8" t="s">
        <v>637</v>
      </c>
      <c r="D1015" s="8"/>
      <c r="E1015" s="38">
        <f>E1016+E1019</f>
        <v>600</v>
      </c>
      <c r="F1015" s="38">
        <f>F1016+F1019</f>
        <v>429</v>
      </c>
      <c r="G1015" s="38">
        <f>G1016+G1019</f>
        <v>0</v>
      </c>
      <c r="H1015" s="38">
        <f>H1016+H1019</f>
        <v>0</v>
      </c>
      <c r="I1015" s="119"/>
    </row>
    <row r="1016" spans="1:9" ht="48" customHeight="1">
      <c r="A1016" s="58" t="s">
        <v>675</v>
      </c>
      <c r="B1016" s="37" t="s">
        <v>665</v>
      </c>
      <c r="C1016" s="8" t="s">
        <v>667</v>
      </c>
      <c r="D1016" s="8"/>
      <c r="E1016" s="38">
        <f aca="true" t="shared" si="53" ref="E1016:H1020">E1017</f>
        <v>429</v>
      </c>
      <c r="F1016" s="38">
        <f t="shared" si="53"/>
        <v>429</v>
      </c>
      <c r="G1016" s="38">
        <f t="shared" si="53"/>
        <v>0</v>
      </c>
      <c r="H1016" s="38">
        <f t="shared" si="53"/>
        <v>0</v>
      </c>
      <c r="I1016" s="119"/>
    </row>
    <row r="1017" spans="1:9" ht="30" customHeight="1">
      <c r="A1017" s="58" t="s">
        <v>352</v>
      </c>
      <c r="B1017" s="37" t="s">
        <v>665</v>
      </c>
      <c r="C1017" s="8" t="s">
        <v>667</v>
      </c>
      <c r="D1017" s="8" t="s">
        <v>351</v>
      </c>
      <c r="E1017" s="38">
        <f t="shared" si="53"/>
        <v>429</v>
      </c>
      <c r="F1017" s="38">
        <f t="shared" si="53"/>
        <v>429</v>
      </c>
      <c r="G1017" s="38">
        <f t="shared" si="53"/>
        <v>0</v>
      </c>
      <c r="H1017" s="38">
        <f t="shared" si="53"/>
        <v>0</v>
      </c>
      <c r="I1017" s="119"/>
    </row>
    <row r="1018" spans="1:9" ht="22.5" customHeight="1">
      <c r="A1018" s="40" t="s">
        <v>350</v>
      </c>
      <c r="B1018" s="37" t="s">
        <v>665</v>
      </c>
      <c r="C1018" s="8" t="s">
        <v>667</v>
      </c>
      <c r="D1018" s="8" t="s">
        <v>349</v>
      </c>
      <c r="E1018" s="38">
        <v>429</v>
      </c>
      <c r="F1018" s="38">
        <f>E1018</f>
        <v>429</v>
      </c>
      <c r="G1018" s="38">
        <v>0</v>
      </c>
      <c r="H1018" s="38">
        <f>G1018</f>
        <v>0</v>
      </c>
      <c r="I1018" s="119"/>
    </row>
    <row r="1019" spans="1:9" ht="62.25" customHeight="1">
      <c r="A1019" s="58" t="s">
        <v>674</v>
      </c>
      <c r="B1019" s="37" t="s">
        <v>665</v>
      </c>
      <c r="C1019" s="8" t="s">
        <v>673</v>
      </c>
      <c r="D1019" s="8"/>
      <c r="E1019" s="38">
        <f t="shared" si="53"/>
        <v>171</v>
      </c>
      <c r="F1019" s="38">
        <f t="shared" si="53"/>
        <v>0</v>
      </c>
      <c r="G1019" s="38">
        <f t="shared" si="53"/>
        <v>0</v>
      </c>
      <c r="H1019" s="38">
        <f t="shared" si="53"/>
        <v>0</v>
      </c>
      <c r="I1019" s="119"/>
    </row>
    <row r="1020" spans="1:9" ht="30" customHeight="1">
      <c r="A1020" s="58" t="s">
        <v>352</v>
      </c>
      <c r="B1020" s="37" t="s">
        <v>665</v>
      </c>
      <c r="C1020" s="8" t="s">
        <v>673</v>
      </c>
      <c r="D1020" s="8" t="s">
        <v>351</v>
      </c>
      <c r="E1020" s="38">
        <f t="shared" si="53"/>
        <v>171</v>
      </c>
      <c r="F1020" s="38">
        <f t="shared" si="53"/>
        <v>0</v>
      </c>
      <c r="G1020" s="38">
        <f t="shared" si="53"/>
        <v>0</v>
      </c>
      <c r="H1020" s="38">
        <f t="shared" si="53"/>
        <v>0</v>
      </c>
      <c r="I1020" s="119"/>
    </row>
    <row r="1021" spans="1:9" ht="22.5" customHeight="1">
      <c r="A1021" s="40" t="s">
        <v>350</v>
      </c>
      <c r="B1021" s="37" t="s">
        <v>665</v>
      </c>
      <c r="C1021" s="8" t="s">
        <v>673</v>
      </c>
      <c r="D1021" s="8" t="s">
        <v>349</v>
      </c>
      <c r="E1021" s="38">
        <f>171</f>
        <v>171</v>
      </c>
      <c r="F1021" s="38">
        <v>0</v>
      </c>
      <c r="G1021" s="38">
        <v>0</v>
      </c>
      <c r="H1021" s="38">
        <v>0</v>
      </c>
      <c r="I1021" s="119"/>
    </row>
    <row r="1022" spans="1:9" s="3" customFormat="1" ht="18" customHeight="1">
      <c r="A1022" s="19" t="s">
        <v>74</v>
      </c>
      <c r="B1022" s="17" t="s">
        <v>75</v>
      </c>
      <c r="C1022" s="17"/>
      <c r="D1022" s="17"/>
      <c r="E1022" s="18">
        <f>E1023</f>
        <v>46901.6</v>
      </c>
      <c r="F1022" s="18">
        <f>F1023</f>
        <v>0</v>
      </c>
      <c r="G1022" s="18">
        <f>G1023</f>
        <v>20921.4</v>
      </c>
      <c r="H1022" s="18">
        <f>H1023</f>
        <v>0</v>
      </c>
      <c r="I1022" s="18">
        <f>G1022/E1022*100</f>
        <v>44.607007010421825</v>
      </c>
    </row>
    <row r="1023" spans="1:9" ht="59.25" customHeight="1">
      <c r="A1023" s="66" t="s">
        <v>285</v>
      </c>
      <c r="B1023" s="35" t="s">
        <v>75</v>
      </c>
      <c r="C1023" s="35" t="s">
        <v>362</v>
      </c>
      <c r="D1023" s="35"/>
      <c r="E1023" s="38">
        <f>E1024+E1028+E1034</f>
        <v>46901.6</v>
      </c>
      <c r="F1023" s="38">
        <f>F1024+F1028+F1034</f>
        <v>0</v>
      </c>
      <c r="G1023" s="38">
        <f>G1024+G1028+G1034</f>
        <v>20921.4</v>
      </c>
      <c r="H1023" s="38">
        <f>H1024+H1028+H1034</f>
        <v>0</v>
      </c>
      <c r="I1023" s="119"/>
    </row>
    <row r="1024" spans="1:9" ht="18.75" customHeight="1">
      <c r="A1024" s="57" t="s">
        <v>105</v>
      </c>
      <c r="B1024" s="63" t="s">
        <v>76</v>
      </c>
      <c r="C1024" s="63"/>
      <c r="D1024" s="63"/>
      <c r="E1024" s="11">
        <f>E1025</f>
        <v>28274.1</v>
      </c>
      <c r="F1024" s="11">
        <f>F1025</f>
        <v>0</v>
      </c>
      <c r="G1024" s="11">
        <f>G1025</f>
        <v>11026</v>
      </c>
      <c r="H1024" s="11">
        <f>H1025</f>
        <v>0</v>
      </c>
      <c r="I1024" s="119"/>
    </row>
    <row r="1025" spans="1:9" ht="30" customHeight="1">
      <c r="A1025" s="39" t="s">
        <v>165</v>
      </c>
      <c r="B1025" s="36" t="s">
        <v>76</v>
      </c>
      <c r="C1025" s="36" t="s">
        <v>363</v>
      </c>
      <c r="D1025" s="36"/>
      <c r="E1025" s="38">
        <f>E1026</f>
        <v>28274.1</v>
      </c>
      <c r="F1025" s="38"/>
      <c r="G1025" s="38">
        <f>G1026</f>
        <v>11026</v>
      </c>
      <c r="H1025" s="38"/>
      <c r="I1025" s="119"/>
    </row>
    <row r="1026" spans="1:9" ht="21" customHeight="1">
      <c r="A1026" s="44" t="s">
        <v>175</v>
      </c>
      <c r="B1026" s="35" t="s">
        <v>76</v>
      </c>
      <c r="C1026" s="36" t="s">
        <v>363</v>
      </c>
      <c r="D1026" s="35" t="s">
        <v>174</v>
      </c>
      <c r="E1026" s="38">
        <f>E1027</f>
        <v>28274.1</v>
      </c>
      <c r="F1026" s="38"/>
      <c r="G1026" s="38">
        <f>G1027</f>
        <v>11026</v>
      </c>
      <c r="H1026" s="38"/>
      <c r="I1026" s="119"/>
    </row>
    <row r="1027" spans="1:9" ht="30.75" customHeight="1">
      <c r="A1027" s="44" t="s">
        <v>177</v>
      </c>
      <c r="B1027" s="36" t="s">
        <v>76</v>
      </c>
      <c r="C1027" s="36" t="s">
        <v>363</v>
      </c>
      <c r="D1027" s="36" t="s">
        <v>176</v>
      </c>
      <c r="E1027" s="38">
        <f>16000+12274.1</f>
        <v>28274.1</v>
      </c>
      <c r="F1027" s="38"/>
      <c r="G1027" s="38">
        <v>11026</v>
      </c>
      <c r="H1027" s="38"/>
      <c r="I1027" s="119"/>
    </row>
    <row r="1028" spans="1:9" ht="18" customHeight="1">
      <c r="A1028" s="57" t="s">
        <v>106</v>
      </c>
      <c r="B1028" s="63" t="s">
        <v>77</v>
      </c>
      <c r="C1028" s="63"/>
      <c r="D1028" s="63"/>
      <c r="E1028" s="11">
        <f>E1029</f>
        <v>17427.5</v>
      </c>
      <c r="F1028" s="11">
        <f>F1029</f>
        <v>0</v>
      </c>
      <c r="G1028" s="11">
        <f>G1029</f>
        <v>9800.2</v>
      </c>
      <c r="H1028" s="11">
        <f>H1029</f>
        <v>0</v>
      </c>
      <c r="I1028" s="119"/>
    </row>
    <row r="1029" spans="1:9" ht="20.25" customHeight="1">
      <c r="A1029" s="49" t="s">
        <v>166</v>
      </c>
      <c r="B1029" s="35" t="s">
        <v>77</v>
      </c>
      <c r="C1029" s="36" t="s">
        <v>363</v>
      </c>
      <c r="D1029" s="35"/>
      <c r="E1029" s="38">
        <f>E1030+E1032</f>
        <v>17427.5</v>
      </c>
      <c r="F1029" s="38"/>
      <c r="G1029" s="38">
        <f>G1030+G1032</f>
        <v>9800.2</v>
      </c>
      <c r="H1029" s="38"/>
      <c r="I1029" s="119"/>
    </row>
    <row r="1030" spans="1:9" ht="33.75" customHeight="1">
      <c r="A1030" s="34" t="s">
        <v>352</v>
      </c>
      <c r="B1030" s="36" t="s">
        <v>77</v>
      </c>
      <c r="C1030" s="36" t="s">
        <v>363</v>
      </c>
      <c r="D1030" s="36" t="s">
        <v>351</v>
      </c>
      <c r="E1030" s="38">
        <f>E1031</f>
        <v>16427.5</v>
      </c>
      <c r="F1030" s="38"/>
      <c r="G1030" s="38">
        <f>G1031</f>
        <v>9301</v>
      </c>
      <c r="H1030" s="38"/>
      <c r="I1030" s="119"/>
    </row>
    <row r="1031" spans="1:9" ht="24" customHeight="1">
      <c r="A1031" s="41" t="s">
        <v>355</v>
      </c>
      <c r="B1031" s="36" t="s">
        <v>77</v>
      </c>
      <c r="C1031" s="36" t="s">
        <v>363</v>
      </c>
      <c r="D1031" s="36" t="s">
        <v>354</v>
      </c>
      <c r="E1031" s="38">
        <f>12401.3+4026.2</f>
        <v>16427.5</v>
      </c>
      <c r="F1031" s="38"/>
      <c r="G1031" s="38">
        <v>9301</v>
      </c>
      <c r="H1031" s="38"/>
      <c r="I1031" s="119"/>
    </row>
    <row r="1032" spans="1:9" ht="18.75" customHeight="1">
      <c r="A1032" s="44" t="s">
        <v>175</v>
      </c>
      <c r="B1032" s="36" t="s">
        <v>77</v>
      </c>
      <c r="C1032" s="36" t="s">
        <v>363</v>
      </c>
      <c r="D1032" s="36" t="s">
        <v>174</v>
      </c>
      <c r="E1032" s="38">
        <f>E1033</f>
        <v>1000</v>
      </c>
      <c r="F1032" s="38"/>
      <c r="G1032" s="38">
        <f>G1033</f>
        <v>499.2</v>
      </c>
      <c r="H1032" s="38"/>
      <c r="I1032" s="119"/>
    </row>
    <row r="1033" spans="1:9" ht="33" customHeight="1">
      <c r="A1033" s="44" t="s">
        <v>177</v>
      </c>
      <c r="B1033" s="36" t="s">
        <v>77</v>
      </c>
      <c r="C1033" s="36" t="s">
        <v>363</v>
      </c>
      <c r="D1033" s="36" t="s">
        <v>176</v>
      </c>
      <c r="E1033" s="38">
        <f>1000</f>
        <v>1000</v>
      </c>
      <c r="F1033" s="38"/>
      <c r="G1033" s="38">
        <v>499.2</v>
      </c>
      <c r="H1033" s="38"/>
      <c r="I1033" s="119"/>
    </row>
    <row r="1034" spans="1:9" ht="31.5" customHeight="1">
      <c r="A1034" s="57" t="s">
        <v>256</v>
      </c>
      <c r="B1034" s="63" t="s">
        <v>257</v>
      </c>
      <c r="C1034" s="63"/>
      <c r="D1034" s="63"/>
      <c r="E1034" s="11">
        <f>E1036+E1038</f>
        <v>1200</v>
      </c>
      <c r="F1034" s="38"/>
      <c r="G1034" s="11">
        <f>G1036+G1038</f>
        <v>95.2</v>
      </c>
      <c r="H1034" s="38"/>
      <c r="I1034" s="119"/>
    </row>
    <row r="1035" spans="1:9" ht="137.25" customHeight="1">
      <c r="A1035" s="56" t="s">
        <v>702</v>
      </c>
      <c r="B1035" s="35" t="s">
        <v>257</v>
      </c>
      <c r="C1035" s="35" t="s">
        <v>703</v>
      </c>
      <c r="D1035" s="63"/>
      <c r="E1035" s="38">
        <f>E1036</f>
        <v>200</v>
      </c>
      <c r="F1035" s="38"/>
      <c r="G1035" s="38">
        <f>G1036</f>
        <v>0</v>
      </c>
      <c r="H1035" s="38"/>
      <c r="I1035" s="119"/>
    </row>
    <row r="1036" spans="1:9" ht="19.5" customHeight="1">
      <c r="A1036" s="56" t="s">
        <v>175</v>
      </c>
      <c r="B1036" s="35" t="s">
        <v>257</v>
      </c>
      <c r="C1036" s="35" t="s">
        <v>703</v>
      </c>
      <c r="D1036" s="35" t="s">
        <v>174</v>
      </c>
      <c r="E1036" s="38">
        <f>E1037</f>
        <v>200</v>
      </c>
      <c r="F1036" s="38"/>
      <c r="G1036" s="38">
        <f>G1037</f>
        <v>0</v>
      </c>
      <c r="H1036" s="38"/>
      <c r="I1036" s="119"/>
    </row>
    <row r="1037" spans="1:9" ht="33" customHeight="1">
      <c r="A1037" s="56" t="s">
        <v>177</v>
      </c>
      <c r="B1037" s="35" t="s">
        <v>257</v>
      </c>
      <c r="C1037" s="35" t="s">
        <v>703</v>
      </c>
      <c r="D1037" s="35" t="s">
        <v>176</v>
      </c>
      <c r="E1037" s="38">
        <v>200</v>
      </c>
      <c r="F1037" s="38"/>
      <c r="G1037" s="38">
        <v>0</v>
      </c>
      <c r="H1037" s="38"/>
      <c r="I1037" s="119"/>
    </row>
    <row r="1038" spans="1:9" ht="33" customHeight="1">
      <c r="A1038" s="56" t="s">
        <v>452</v>
      </c>
      <c r="B1038" s="35" t="s">
        <v>257</v>
      </c>
      <c r="C1038" s="35" t="s">
        <v>451</v>
      </c>
      <c r="D1038" s="63"/>
      <c r="E1038" s="38">
        <f>E1039</f>
        <v>1000</v>
      </c>
      <c r="F1038" s="38"/>
      <c r="G1038" s="38">
        <f>G1039</f>
        <v>95.2</v>
      </c>
      <c r="H1038" s="38"/>
      <c r="I1038" s="119"/>
    </row>
    <row r="1039" spans="1:9" ht="19.5" customHeight="1">
      <c r="A1039" s="56" t="s">
        <v>175</v>
      </c>
      <c r="B1039" s="35" t="s">
        <v>257</v>
      </c>
      <c r="C1039" s="35" t="s">
        <v>451</v>
      </c>
      <c r="D1039" s="35" t="s">
        <v>174</v>
      </c>
      <c r="E1039" s="38">
        <f>E1040</f>
        <v>1000</v>
      </c>
      <c r="F1039" s="38"/>
      <c r="G1039" s="38">
        <f>G1040</f>
        <v>95.2</v>
      </c>
      <c r="H1039" s="38"/>
      <c r="I1039" s="119"/>
    </row>
    <row r="1040" spans="1:9" ht="33" customHeight="1">
      <c r="A1040" s="56" t="s">
        <v>177</v>
      </c>
      <c r="B1040" s="35" t="s">
        <v>257</v>
      </c>
      <c r="C1040" s="35" t="s">
        <v>451</v>
      </c>
      <c r="D1040" s="35" t="s">
        <v>176</v>
      </c>
      <c r="E1040" s="38">
        <f>1000</f>
        <v>1000</v>
      </c>
      <c r="F1040" s="38"/>
      <c r="G1040" s="38">
        <v>95.2</v>
      </c>
      <c r="H1040" s="38"/>
      <c r="I1040" s="119"/>
    </row>
    <row r="1041" spans="1:9" ht="33" customHeight="1">
      <c r="A1041" s="20" t="s">
        <v>113</v>
      </c>
      <c r="B1041" s="26" t="s">
        <v>78</v>
      </c>
      <c r="C1041" s="26"/>
      <c r="D1041" s="26"/>
      <c r="E1041" s="28">
        <f>E1042</f>
        <v>36177</v>
      </c>
      <c r="F1041" s="18"/>
      <c r="G1041" s="28">
        <f>G1042</f>
        <v>869.4</v>
      </c>
      <c r="H1041" s="18"/>
      <c r="I1041" s="28">
        <f>G1041/E1041*100</f>
        <v>2.4031843436437517</v>
      </c>
    </row>
    <row r="1042" spans="1:9" ht="33" customHeight="1">
      <c r="A1042" s="49" t="s">
        <v>41</v>
      </c>
      <c r="B1042" s="89" t="s">
        <v>79</v>
      </c>
      <c r="C1042" s="26"/>
      <c r="D1042" s="26"/>
      <c r="E1042" s="93">
        <f>E1043</f>
        <v>36177</v>
      </c>
      <c r="F1042" s="94"/>
      <c r="G1042" s="93">
        <f>G1043</f>
        <v>869.4</v>
      </c>
      <c r="H1042" s="94"/>
      <c r="I1042" s="119"/>
    </row>
    <row r="1043" spans="1:9" ht="21.75" customHeight="1">
      <c r="A1043" s="58" t="s">
        <v>251</v>
      </c>
      <c r="B1043" s="37" t="s">
        <v>79</v>
      </c>
      <c r="C1043" s="35" t="s">
        <v>21</v>
      </c>
      <c r="D1043" s="37"/>
      <c r="E1043" s="38">
        <f>E1044</f>
        <v>36177</v>
      </c>
      <c r="F1043" s="38"/>
      <c r="G1043" s="38">
        <f>G1044</f>
        <v>869.4</v>
      </c>
      <c r="H1043" s="38"/>
      <c r="I1043" s="119"/>
    </row>
    <row r="1044" spans="1:9" ht="24.75" customHeight="1">
      <c r="A1044" s="39" t="s">
        <v>10</v>
      </c>
      <c r="B1044" s="37" t="s">
        <v>79</v>
      </c>
      <c r="C1044" s="36" t="s">
        <v>192</v>
      </c>
      <c r="D1044" s="37"/>
      <c r="E1044" s="38">
        <f>E1046</f>
        <v>36177</v>
      </c>
      <c r="F1044" s="38"/>
      <c r="G1044" s="38">
        <f>G1046</f>
        <v>869.4</v>
      </c>
      <c r="H1044" s="38"/>
      <c r="I1044" s="119"/>
    </row>
    <row r="1045" spans="1:9" ht="19.5" customHeight="1">
      <c r="A1045" s="49" t="s">
        <v>111</v>
      </c>
      <c r="B1045" s="37" t="s">
        <v>79</v>
      </c>
      <c r="C1045" s="35" t="s">
        <v>193</v>
      </c>
      <c r="D1045" s="37"/>
      <c r="E1045" s="38">
        <f>E1046</f>
        <v>36177</v>
      </c>
      <c r="F1045" s="38"/>
      <c r="G1045" s="38">
        <f>G1046</f>
        <v>869.4</v>
      </c>
      <c r="H1045" s="38"/>
      <c r="I1045" s="119"/>
    </row>
    <row r="1046" spans="1:9" ht="27" customHeight="1">
      <c r="A1046" s="39" t="s">
        <v>84</v>
      </c>
      <c r="B1046" s="37" t="s">
        <v>79</v>
      </c>
      <c r="C1046" s="35" t="s">
        <v>193</v>
      </c>
      <c r="D1046" s="37" t="s">
        <v>419</v>
      </c>
      <c r="E1046" s="38">
        <f>E1047</f>
        <v>36177</v>
      </c>
      <c r="F1046" s="38"/>
      <c r="G1046" s="38">
        <f>G1047</f>
        <v>869.4</v>
      </c>
      <c r="H1046" s="38"/>
      <c r="I1046" s="119"/>
    </row>
    <row r="1047" spans="1:9" ht="18.75" customHeight="1">
      <c r="A1047" s="49" t="s">
        <v>84</v>
      </c>
      <c r="B1047" s="37" t="s">
        <v>79</v>
      </c>
      <c r="C1047" s="35" t="s">
        <v>193</v>
      </c>
      <c r="D1047" s="37" t="s">
        <v>49</v>
      </c>
      <c r="E1047" s="38">
        <f>36177</f>
        <v>36177</v>
      </c>
      <c r="F1047" s="38"/>
      <c r="G1047" s="38">
        <v>869.4</v>
      </c>
      <c r="H1047" s="38"/>
      <c r="I1047" s="119"/>
    </row>
    <row r="1048" spans="1:9" ht="48" customHeight="1">
      <c r="A1048" s="19" t="s">
        <v>427</v>
      </c>
      <c r="B1048" s="17" t="s">
        <v>154</v>
      </c>
      <c r="C1048" s="17"/>
      <c r="D1048" s="17"/>
      <c r="E1048" s="18">
        <f aca="true" t="shared" si="54" ref="E1048:H1050">E1049</f>
        <v>0</v>
      </c>
      <c r="F1048" s="18">
        <f t="shared" si="54"/>
        <v>0</v>
      </c>
      <c r="G1048" s="18">
        <f t="shared" si="54"/>
        <v>0</v>
      </c>
      <c r="H1048" s="18">
        <f t="shared" si="54"/>
        <v>0</v>
      </c>
      <c r="I1048" s="12">
        <v>0</v>
      </c>
    </row>
    <row r="1049" spans="1:9" ht="33.75" customHeight="1">
      <c r="A1049" s="57" t="s">
        <v>70</v>
      </c>
      <c r="B1049" s="61" t="s">
        <v>155</v>
      </c>
      <c r="C1049" s="61"/>
      <c r="D1049" s="61"/>
      <c r="E1049" s="11">
        <f t="shared" si="54"/>
        <v>0</v>
      </c>
      <c r="F1049" s="11">
        <f t="shared" si="54"/>
        <v>0</v>
      </c>
      <c r="G1049" s="11">
        <f t="shared" si="54"/>
        <v>0</v>
      </c>
      <c r="H1049" s="11">
        <f t="shared" si="54"/>
        <v>0</v>
      </c>
      <c r="I1049" s="119"/>
    </row>
    <row r="1050" spans="1:9" ht="23.25" customHeight="1">
      <c r="A1050" s="121" t="s">
        <v>421</v>
      </c>
      <c r="B1050" s="37" t="s">
        <v>155</v>
      </c>
      <c r="C1050" s="37" t="s">
        <v>258</v>
      </c>
      <c r="D1050" s="90" t="s">
        <v>420</v>
      </c>
      <c r="E1050" s="91">
        <f t="shared" si="54"/>
        <v>0</v>
      </c>
      <c r="F1050" s="91">
        <f t="shared" si="54"/>
        <v>0</v>
      </c>
      <c r="G1050" s="91">
        <f t="shared" si="54"/>
        <v>0</v>
      </c>
      <c r="H1050" s="91">
        <f t="shared" si="54"/>
        <v>0</v>
      </c>
      <c r="I1050" s="119"/>
    </row>
    <row r="1051" spans="1:9" ht="25.5" customHeight="1">
      <c r="A1051" s="121" t="s">
        <v>45</v>
      </c>
      <c r="B1051" s="37" t="s">
        <v>155</v>
      </c>
      <c r="C1051" s="37" t="s">
        <v>258</v>
      </c>
      <c r="D1051" s="90" t="s">
        <v>163</v>
      </c>
      <c r="E1051" s="91">
        <f>30000-30000</f>
        <v>0</v>
      </c>
      <c r="F1051" s="91"/>
      <c r="G1051" s="91"/>
      <c r="H1051" s="91"/>
      <c r="I1051" s="119"/>
    </row>
    <row r="1052" spans="1:9" ht="26.25" customHeight="1">
      <c r="A1052" s="122" t="s">
        <v>110</v>
      </c>
      <c r="B1052" s="88"/>
      <c r="C1052" s="88"/>
      <c r="D1052" s="88"/>
      <c r="E1052" s="12">
        <f>E14+E323+E330+E357+E482+E604+E616+E841+E899+E908+E1048+E970+E1022+E1041</f>
        <v>7161273.399999999</v>
      </c>
      <c r="F1052" s="12">
        <f>F14+F323+F330+F357+F482+F604+F616+F841+F899+F908+F1048+F970+F1022+F1041</f>
        <v>3891234</v>
      </c>
      <c r="G1052" s="12">
        <f>G14+G323+G330+G357+G482+G604+G616+G841+G899+G908+G1048+G970+G1022+G1041</f>
        <v>2989674.3000000003</v>
      </c>
      <c r="H1052" s="12">
        <f>H14+H323+H330+H357+H482+H604+H616+H841+H899+H908+H1048+H970+H1022+H1041</f>
        <v>1633645.2</v>
      </c>
      <c r="I1052" s="12">
        <f>G1052/E1052*100</f>
        <v>41.74780284188005</v>
      </c>
    </row>
    <row r="1056" spans="6:8" ht="12.75">
      <c r="F1056" s="6"/>
      <c r="H1056" s="6"/>
    </row>
    <row r="1057" ht="12.75">
      <c r="E1057" s="7"/>
    </row>
    <row r="1058" spans="5:6" ht="12.75">
      <c r="E1058" s="7"/>
      <c r="F1058" s="6"/>
    </row>
    <row r="1059" ht="12.75">
      <c r="E1059" s="7"/>
    </row>
    <row r="1060" ht="12.75">
      <c r="E1060" s="7"/>
    </row>
    <row r="1061" spans="5:9" ht="12.75">
      <c r="E1061" s="7"/>
      <c r="I1061" s="6"/>
    </row>
    <row r="1062" ht="12.75">
      <c r="E1062" s="7"/>
    </row>
  </sheetData>
  <sheetProtection/>
  <autoFilter ref="A13:I1052"/>
  <mergeCells count="9">
    <mergeCell ref="A8:I8"/>
    <mergeCell ref="A9:I9"/>
    <mergeCell ref="G12:G13"/>
    <mergeCell ref="H12:H13"/>
    <mergeCell ref="I12:I13"/>
    <mergeCell ref="A12:A13"/>
    <mergeCell ref="B12:D12"/>
    <mergeCell ref="E12:E13"/>
    <mergeCell ref="F12:F1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58" r:id="rId1"/>
  <headerFooter alignWithMargins="0">
    <oddHeader>&amp;C&amp;P</oddHeader>
    <oddFooter>&amp;LПост.1266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2018-07-19T06:41:59Z</cp:lastPrinted>
  <dcterms:created xsi:type="dcterms:W3CDTF">2003-07-23T10:25:27Z</dcterms:created>
  <dcterms:modified xsi:type="dcterms:W3CDTF">2018-07-25T06:38:08Z</dcterms:modified>
  <cp:category/>
  <cp:version/>
  <cp:contentType/>
  <cp:contentStatus/>
</cp:coreProperties>
</file>