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1" activeTab="0"/>
  </bookViews>
  <sheets>
    <sheet name="доходы 2019" sheetId="1" r:id="rId1"/>
    <sheet name="расходы 2019" sheetId="2" r:id="rId2"/>
    <sheet name="ведомст 2019" sheetId="3" r:id="rId3"/>
    <sheet name="дефицит 2019" sheetId="4" r:id="rId4"/>
    <sheet name="муниц прогр 2019" sheetId="5" r:id="rId5"/>
    <sheet name="план финансирования 2019" sheetId="6" r:id="rId6"/>
  </sheets>
  <definedNames>
    <definedName name="_xlnm._FilterDatabase" localSheetId="2" hidden="1">'ведомст 2019'!$A$15:$F$278</definedName>
    <definedName name="Excel_BuiltIn__FilterDatabase" localSheetId="4">'муниц прогр 2019'!$A$17:$C$267</definedName>
    <definedName name="Excel_BuiltIn__FilterDatabase" localSheetId="1">'расходы 2019'!$A$14:$E$308</definedName>
    <definedName name="Z_072D351B_4DCF_4C5F_BB0C_B1F84EBBD46B_.wvu.Cols" localSheetId="4">'муниц прогр 2019'!#REF!</definedName>
    <definedName name="Z_072D351B_4DCF_4C5F_BB0C_B1F84EBBD46B_.wvu.PrintArea" localSheetId="4">'муниц прогр 2019'!$A$14:$D$298</definedName>
    <definedName name="Z_072D351B_4DCF_4C5F_BB0C_B1F84EBBD46B_.wvu.PrintTitles" localSheetId="4">'муниц прогр 2019'!$17:$17</definedName>
    <definedName name="Z_3708D406_71C9_49CC_A67A_2D2190B41A82_.wvu.FilterData" localSheetId="1">'расходы 2019'!$A$18:$D$308</definedName>
    <definedName name="Z_4739F1B8_629E_4911_A516_CBE7309FD785_.wvu.FilterData" localSheetId="2">'ведомст 2019'!$A$15:$F$278</definedName>
    <definedName name="Z_4AF32C0D_3EF2_4B3B_9612_87CA8DBB6ACF_.wvu.Cols" localSheetId="4">'муниц прогр 2019'!#REF!</definedName>
    <definedName name="Z_4AF32C0D_3EF2_4B3B_9612_87CA8DBB6ACF_.wvu.PrintArea" localSheetId="4">'муниц прогр 2019'!$A$14:$D$298</definedName>
    <definedName name="Z_4AF32C0D_3EF2_4B3B_9612_87CA8DBB6ACF_.wvu.PrintTitles" localSheetId="4">'муниц прогр 2019'!$17:$17</definedName>
    <definedName name="Z_5F1072CB_A768_452E_BCF8_20340BB8BAB0_.wvu.Cols" localSheetId="4">'муниц прогр 2019'!#REF!</definedName>
    <definedName name="Z_5F1072CB_A768_452E_BCF8_20340BB8BAB0_.wvu.PrintArea" localSheetId="4">'муниц прогр 2019'!$A$14:$D$298</definedName>
    <definedName name="Z_5F1072CB_A768_452E_BCF8_20340BB8BAB0_.wvu.PrintTitles" localSheetId="4">'муниц прогр 2019'!$17:$17</definedName>
    <definedName name="Z_602708FF_2C0D_4423_A41F_A0DAD053BCB9_.wvu.FilterData" localSheetId="2">'ведомст 2019'!$A$15:$F$278</definedName>
    <definedName name="Z_742DD9F2_8A71_4480_AC11_A74320E5619E_.wvu.FilterData" localSheetId="1">'расходы 2019'!$A$18:$D$308</definedName>
    <definedName name="Z_829AF458_32E9_4EBE_8AEA_C1C6BE533EAE_.wvu.FilterData" localSheetId="1">'расходы 2019'!$A$18:$D$308</definedName>
    <definedName name="Z_829AF458_32E9_4EBE_8AEA_C1C6BE533EAE_.wvu.PrintArea" localSheetId="1">'расходы 2019'!$A$14:$E$313</definedName>
    <definedName name="Z_829AF458_32E9_4EBE_8AEA_C1C6BE533EAE_.wvu.PrintTitles" localSheetId="1">'расходы 2019'!$15:$17</definedName>
    <definedName name="Z_829AF458_32E9_4EBE_8AEA_C1C6BE533EAE_.wvu.Rows" localSheetId="1">'расходы 2019'!#REF!</definedName>
    <definedName name="Z_858EF935_9412_49EF_81B0_F8CE77DDB678_.wvu.FilterData" localSheetId="2">'ведомст 2019'!$A$15:$F$278</definedName>
    <definedName name="Z_858EF935_9412_49EF_81B0_F8CE77DDB678_.wvu.PrintArea" localSheetId="2">'ведомст 2019'!$A$13:$G$278</definedName>
    <definedName name="Z_858EF935_9412_49EF_81B0_F8CE77DDB678_.wvu.PrintTitles" localSheetId="2">'ведомст 2019'!$15:$15</definedName>
    <definedName name="Z_8E538972_DCB6_4DF0_B6A0_1DAF22EE85A5_.wvu.FilterData" localSheetId="1">'расходы 2019'!$A$18:$D$308</definedName>
    <definedName name="Z_8E538972_DCB6_4DF0_B6A0_1DAF22EE85A5_.wvu.PrintArea" localSheetId="1">'расходы 2019'!$A$14:$E$313</definedName>
    <definedName name="Z_8E538972_DCB6_4DF0_B6A0_1DAF22EE85A5_.wvu.PrintTitles" localSheetId="1">'расходы 2019'!$15:$17</definedName>
    <definedName name="Z_8E538972_DCB6_4DF0_B6A0_1DAF22EE85A5_.wvu.Rows" localSheetId="1">'расходы 2019'!#REF!</definedName>
    <definedName name="Z_93FC2DE2_8935_4E50_BFC5_18187CAC2303_.wvu.FilterData" localSheetId="2">'ведомст 2019'!$A$15:$F$278</definedName>
    <definedName name="Z_A26D4967_F1CF_4E95_A59C_FC369D6520C7_.wvu.FilterData" localSheetId="1">'расходы 2019'!$A$18:$D$308</definedName>
    <definedName name="Z_A26D4967_F1CF_4E95_A59C_FC369D6520C7_.wvu.PrintArea" localSheetId="1">'расходы 2019'!$A$14:$E$313</definedName>
    <definedName name="Z_A26D4967_F1CF_4E95_A59C_FC369D6520C7_.wvu.PrintTitles" localSheetId="1">'расходы 2019'!$15:$17</definedName>
    <definedName name="Z_A26D4967_F1CF_4E95_A59C_FC369D6520C7_.wvu.Rows" localSheetId="1">'расходы 2019'!#REF!</definedName>
    <definedName name="Z_B452F1D7_E242_4E66_AEEE_75884A98B5E4_.wvu.FilterData" localSheetId="1">'расходы 2019'!$A$18:$D$308</definedName>
    <definedName name="Z_D0485094_6CEC_4C5E_AB0A_25AE40B80192_.wvu.FilterData" localSheetId="2">'ведомст 2019'!$A$15:$F$278</definedName>
    <definedName name="Z_DEEAFF70_302D_4EE4_8D9C_7BB1BBA5AB30_.wvu.FilterData" localSheetId="1">'расходы 2019'!$A$18:$D$308</definedName>
    <definedName name="Z_E1A64AA6_FE7B_435E_A2C2_7EDB8F67314E_.wvu.FilterData" localSheetId="2">'ведомст 2019'!$A$15:$F$278</definedName>
    <definedName name="Z_E1A64AA6_FE7B_435E_A2C2_7EDB8F67314E_.wvu.PrintTitles" localSheetId="2">'ведомст 2019'!$15:$15</definedName>
    <definedName name="Z_E29607FC_896B_4EBF_BC37_379DE748C961_.wvu.FilterData" localSheetId="2">'ведомст 2019'!$A$15:$F$278</definedName>
    <definedName name="_xlnm.Print_Area" localSheetId="2">'ведомст 2019'!$A$1:$G$312</definedName>
    <definedName name="_xlnm.Print_Area" localSheetId="0">'доходы 2019'!$A$1:$D$58</definedName>
    <definedName name="_xlnm.Print_Area" localSheetId="1">'расходы 2019'!$A$1:$F$308</definedName>
  </definedNames>
  <calcPr fullCalcOnLoad="1" refMode="R1C1"/>
</workbook>
</file>

<file path=xl/sharedStrings.xml><?xml version="1.0" encoding="utf-8"?>
<sst xmlns="http://schemas.openxmlformats.org/spreadsheetml/2006/main" count="3762" uniqueCount="736">
  <si>
    <t>5.32.32</t>
  </si>
  <si>
    <t xml:space="preserve">Работы по переносу линии уличного освещения в районе парковки </t>
  </si>
  <si>
    <t>у дома №3 по улице 50 лет Октября</t>
  </si>
  <si>
    <t>Ул.Западная, д. 43</t>
  </si>
  <si>
    <t xml:space="preserve">Устройство дополнительной линии уличного освещения </t>
  </si>
  <si>
    <t>дом №14 по улице Горького</t>
  </si>
  <si>
    <t>5.13.28</t>
  </si>
  <si>
    <t>Демонтаж дымовой трубы многоквартирного жилого  дома (за счет средств резервного фонда)</t>
  </si>
  <si>
    <t>Предоставление субсидий бюджетным, автономным учреждениям и иным некоммерческим организациям МБУ "Благоустройство городского поселения Краснозаводск Сергиево-Посадского муниципального района Московской области"</t>
  </si>
  <si>
    <t>Разработка, проверка/корректировка сметной документации на различные виды строительно-монтажных работ</t>
  </si>
  <si>
    <t>5.32.11</t>
  </si>
  <si>
    <t>797 0503 0620100010 610</t>
  </si>
  <si>
    <t>5.32.12</t>
  </si>
  <si>
    <t>797 0503 0620100020 610</t>
  </si>
  <si>
    <t>5.32.13</t>
  </si>
  <si>
    <t>797 0503 0620100030 240</t>
  </si>
  <si>
    <t xml:space="preserve">Содержание внутриквартальных дорог </t>
  </si>
  <si>
    <t>5.32.14</t>
  </si>
  <si>
    <t>797 0503 0620100050 240</t>
  </si>
  <si>
    <t>5.32.21</t>
  </si>
  <si>
    <t>797 0503 0620200010 240</t>
  </si>
  <si>
    <t>5.32.22</t>
  </si>
  <si>
    <t>797 0503 0620200020 240</t>
  </si>
  <si>
    <t>5.32.23</t>
  </si>
  <si>
    <t>797 0503 062F2S2630 240</t>
  </si>
  <si>
    <t>5.32.24</t>
  </si>
  <si>
    <t>797 0503 0620200040 240</t>
  </si>
  <si>
    <t>Устройство  линии наружного освещения</t>
  </si>
  <si>
    <t>от д.7 по ул. Новой до автодороги на кладбище</t>
  </si>
  <si>
    <t>5.32.25</t>
  </si>
  <si>
    <t>Ремонт линии электроснабжения</t>
  </si>
  <si>
    <t>п. Мирный</t>
  </si>
  <si>
    <t>5.32.26</t>
  </si>
  <si>
    <t>Ремонт места повреждения КЛ-10кВ ПС209 Ф111 на ТП-2</t>
  </si>
  <si>
    <t>5.32.27</t>
  </si>
  <si>
    <t xml:space="preserve">Устройство  линии наружного освещения </t>
  </si>
  <si>
    <t>от д.1 по ул. Трудовая до д.12</t>
  </si>
  <si>
    <t>5.32.28</t>
  </si>
  <si>
    <t xml:space="preserve"> ул. Комсомольская</t>
  </si>
  <si>
    <t>5.32.29</t>
  </si>
  <si>
    <t>Экспертиза смет по программе "Светлый город"</t>
  </si>
  <si>
    <t>5.32.30</t>
  </si>
  <si>
    <t>Выявление повреждений электрического кабеля и устранение повреждений (за счет средств резервного фонда)</t>
  </si>
  <si>
    <t>5.32.31</t>
  </si>
  <si>
    <t>797 0503 0620300010 000</t>
  </si>
  <si>
    <t xml:space="preserve">Прочие мероприятия по благоустройству  </t>
  </si>
  <si>
    <t>5.32.41</t>
  </si>
  <si>
    <t>797 0503 0620400010 240</t>
  </si>
  <si>
    <t>5.32.42</t>
  </si>
  <si>
    <t>5.32.43</t>
  </si>
  <si>
    <t>Реализация мероприятий по борьбе с борщевиком</t>
  </si>
  <si>
    <t>5.32.44</t>
  </si>
  <si>
    <t>Финансирование проекта городского парка в рамках Всероссийского конкурса лучших проектов создания комфортной среды</t>
  </si>
  <si>
    <t>5.32.45</t>
  </si>
  <si>
    <t>Инжерено-геологические и инженерно-экологические изыскания для создания футбольного поля с искуственным покрытием</t>
  </si>
  <si>
    <t>5.32.46</t>
  </si>
  <si>
    <t>Мероприятия по благоустройству поселений.</t>
  </si>
  <si>
    <t>5.32.47</t>
  </si>
  <si>
    <t>Устройство новых, ремонт и комплектация существующих детских и спортивных площадок</t>
  </si>
  <si>
    <t>5.32.48</t>
  </si>
  <si>
    <t xml:space="preserve">Устройство сцены </t>
  </si>
  <si>
    <t>площадь у КДЦ Радуга</t>
  </si>
  <si>
    <t>5.32.49</t>
  </si>
  <si>
    <t>Комплексное благоустройство территорий  муниципальных образований</t>
  </si>
  <si>
    <t>В С Е Г О  Р А С Х О Д О В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</si>
  <si>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</si>
  <si>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</si>
  <si>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</si>
  <si>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Сумма</t>
  </si>
  <si>
    <t>Приложение № 2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</si>
  <si>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</si>
  <si>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</si>
  <si>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</si>
  <si>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</si>
  <si>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 xml:space="preserve"> от  «07 »ноября  2018 г. №2/70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</si>
  <si>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</si>
  <si>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</si>
  <si>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</si>
  <si>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</si>
  <si>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ВСЕГО</t>
  </si>
  <si>
    <t>в т.ч. за счет МБТ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</si>
  <si>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</si>
  <si>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</si>
  <si>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</si>
  <si>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</si>
  <si>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</si>
  <si>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</si>
  <si>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</si>
  <si>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</si>
  <si>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</si>
  <si>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</si>
  <si>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</si>
  <si>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</si>
  <si>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</si>
  <si>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</si>
  <si>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</si>
  <si>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</si>
  <si>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</si>
  <si>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</si>
  <si>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</si>
  <si>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</si>
  <si>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</si>
  <si>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</si>
  <si>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</si>
  <si>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</si>
  <si>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</si>
  <si>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</si>
  <si>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</si>
  <si>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</si>
  <si>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</si>
  <si>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</si>
  <si>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</si>
  <si>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</si>
  <si>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</si>
  <si>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</si>
  <si>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</si>
  <si>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</si>
  <si>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</si>
  <si>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</si>
  <si>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</si>
  <si>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</si>
  <si>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</si>
  <si>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</si>
  <si>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</si>
  <si>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</si>
  <si>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</si>
  <si>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</si>
  <si>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</si>
  <si>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</si>
  <si>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</si>
  <si>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</si>
  <si>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</si>
  <si>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</si>
  <si>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</si>
  <si>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</si>
  <si>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</si>
  <si>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</si>
  <si>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</si>
  <si>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</si>
  <si>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</si>
  <si>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</si>
  <si>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</si>
  <si>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</si>
  <si>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</si>
  <si>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</si>
  <si>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</si>
  <si>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</si>
  <si>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</si>
  <si>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</si>
  <si>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</si>
  <si>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</si>
  <si>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</si>
  <si>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</si>
  <si>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</si>
  <si>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</si>
  <si>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</si>
  <si>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</si>
  <si>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</si>
  <si>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</si>
  <si>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</si>
  <si>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</si>
  <si>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</si>
  <si>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</si>
  <si>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</si>
  <si>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</si>
  <si>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</si>
  <si>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</si>
  <si>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</si>
  <si>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</si>
  <si>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</si>
  <si>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</si>
  <si>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</si>
  <si>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</si>
  <si>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</si>
  <si>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</si>
  <si>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</si>
  <si>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</si>
  <si>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</si>
  <si>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</si>
  <si>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</si>
  <si>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</si>
  <si>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</si>
  <si>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</si>
  <si>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</si>
  <si>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</si>
  <si>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</si>
  <si>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</si>
  <si>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</si>
  <si>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</si>
  <si>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</si>
  <si>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</si>
  <si>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</si>
  <si>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</si>
  <si>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</si>
  <si>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</si>
  <si>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</si>
  <si>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</si>
  <si>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</si>
  <si>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</si>
  <si>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</si>
  <si>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</si>
  <si>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</si>
  <si>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</si>
  <si>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</si>
  <si>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</si>
  <si>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</si>
  <si>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</si>
  <si>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</si>
  <si>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</si>
  <si>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</si>
  <si>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</si>
  <si>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</si>
  <si>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</si>
  <si>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</si>
  <si>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</si>
  <si>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</si>
  <si>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</si>
  <si>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</si>
  <si>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</si>
  <si>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</si>
  <si>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</si>
  <si>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</si>
  <si>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</si>
  <si>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</si>
  <si>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</si>
  <si>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</si>
  <si>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</si>
  <si>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</si>
  <si>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</si>
  <si>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</si>
  <si>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</si>
  <si>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</si>
  <si>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</si>
  <si>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</si>
  <si>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</si>
  <si>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</si>
  <si>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</si>
  <si>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</si>
  <si>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</si>
  <si>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</si>
  <si>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</si>
  <si>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</si>
  <si>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</si>
  <si>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</si>
  <si>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</si>
  <si>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</si>
  <si>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</si>
  <si>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</si>
  <si>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</si>
  <si>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</si>
  <si>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</si>
  <si>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</si>
  <si>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</si>
  <si>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</si>
  <si>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</si>
  <si>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</si>
  <si>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</si>
  <si>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</si>
  <si>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</si>
  <si>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</si>
  <si>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</si>
  <si>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</si>
  <si>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</si>
  <si>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</si>
  <si>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</si>
  <si>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</si>
  <si>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</si>
  <si>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</si>
  <si>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</si>
  <si>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</si>
  <si>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</si>
  <si>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</si>
  <si>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</si>
  <si>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</si>
  <si>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</si>
  <si>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</si>
  <si>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</si>
  <si>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</si>
  <si>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</si>
  <si>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</si>
  <si>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</si>
  <si>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</si>
  <si>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</si>
  <si>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</si>
  <si>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</si>
  <si>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</si>
  <si>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</si>
  <si>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</si>
  <si>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</si>
  <si>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</si>
  <si>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</si>
  <si>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</si>
  <si>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</si>
  <si>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</si>
  <si>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</si>
  <si>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</si>
  <si>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</si>
  <si>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</si>
  <si>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</si>
  <si>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</si>
  <si>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</si>
  <si>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</si>
  <si>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</si>
  <si>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</si>
  <si>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</si>
  <si>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</si>
  <si>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</si>
  <si>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</si>
  <si>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</si>
  <si>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</si>
  <si>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</si>
  <si>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</si>
  <si>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</si>
  <si>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</si>
  <si>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</si>
  <si>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</si>
  <si>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</si>
  <si>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</si>
  <si>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</si>
  <si>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</si>
  <si>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</si>
  <si>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</si>
  <si>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</si>
  <si>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</si>
  <si>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</si>
  <si>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</si>
  <si>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</si>
  <si>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</si>
  <si>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</si>
  <si>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</si>
  <si>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</si>
  <si>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</si>
  <si>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</si>
  <si>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</si>
  <si>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</si>
  <si>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</si>
  <si>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</si>
  <si>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</si>
  <si>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</si>
  <si>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</si>
  <si>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</si>
  <si>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</si>
  <si>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</si>
  <si>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</si>
  <si>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</si>
  <si>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</si>
  <si>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</si>
  <si>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</si>
  <si>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</si>
  <si>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</si>
  <si>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</si>
  <si>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</si>
  <si>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</si>
  <si>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</si>
  <si>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</si>
  <si>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</si>
  <si>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</si>
  <si>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</si>
  <si>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</si>
  <si>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Приложение №3</t>
  </si>
  <si>
    <t xml:space="preserve">  от  «07 »ноября  2018 г. №2/70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</si>
  <si>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</si>
  <si>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</si>
  <si>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</si>
  <si>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</si>
  <si>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</si>
  <si>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</si>
  <si>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</si>
  <si>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</si>
  <si>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</si>
  <si>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</si>
  <si>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</si>
  <si>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</si>
  <si>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</si>
  <si>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</si>
  <si>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</si>
  <si>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</si>
  <si>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</si>
  <si>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</si>
  <si>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</si>
  <si>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</si>
  <si>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субсидии в рамках Государственной программы Московской области "Формирование современной комфортной городской среды"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</si>
  <si>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</si>
  <si>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</si>
  <si>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</si>
  <si>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</si>
  <si>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</si>
  <si>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</si>
  <si>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</si>
  <si>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</si>
  <si>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</si>
  <si>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</si>
  <si>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</si>
  <si>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к Решению городского поселения</t>
  </si>
  <si>
    <t>муниципального района Московской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</si>
  <si>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</si>
  <si>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</si>
  <si>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 xml:space="preserve">Сумма                     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</si>
  <si>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</si>
  <si>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</si>
  <si>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</si>
  <si>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</si>
  <si>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</si>
  <si>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</si>
  <si>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</si>
  <si>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</si>
  <si>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</si>
  <si>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</si>
  <si>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</si>
  <si>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</si>
  <si>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</si>
  <si>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</si>
  <si>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</si>
  <si>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</si>
  <si>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</si>
  <si>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</si>
  <si>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</si>
  <si>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</si>
  <si>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</si>
  <si>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</si>
  <si>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</si>
  <si>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</si>
  <si>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</si>
  <si>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</si>
  <si>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</si>
  <si>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</si>
  <si>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</si>
  <si>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</si>
  <si>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</si>
  <si>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</si>
  <si>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</si>
  <si>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</si>
  <si>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</si>
  <si>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</si>
  <si>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</si>
  <si>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</si>
  <si>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</si>
  <si>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</si>
  <si>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</si>
  <si>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</si>
  <si>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</si>
  <si>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</si>
  <si>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</si>
  <si>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</si>
  <si>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</si>
  <si>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</si>
  <si>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</si>
  <si>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План 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2019 год</t>
  </si>
  <si>
    <t>№ п/п</t>
  </si>
  <si>
    <t>Описание работ</t>
  </si>
  <si>
    <t>Адрес проведения работ</t>
  </si>
  <si>
    <t>Ориентировочная цена, тыс.руб.</t>
  </si>
  <si>
    <t>0113</t>
  </si>
  <si>
    <t>Муниципальная программа "Развитие земельно-имущественных отношений в городском поселении Краснозаводск на 2019-2022 годы"</t>
  </si>
  <si>
    <t>1.13.1</t>
  </si>
  <si>
    <t>797 0113 1200000010 240</t>
  </si>
  <si>
    <t>797 0113 1200000010 850</t>
  </si>
  <si>
    <t>Оплата НДС с продаж имущества физическим лицам</t>
  </si>
  <si>
    <t>1.13.2</t>
  </si>
  <si>
    <t>Оплата кредиторской задолженности за ремонт муниципальной квартиры в 2018 году (ул.Новая 3-106)</t>
  </si>
  <si>
    <t>НАЦИОНАЛЬНАЯ ЭКОНОМИКА</t>
  </si>
  <si>
    <t>0400</t>
  </si>
  <si>
    <t>Дорожное хозяйство ( Дорожные фонды), всего</t>
  </si>
  <si>
    <t>Муниципальная программа  "Развитие и функционирование дорожно-транспортного комплекса городского поселения Краснозаводск на 2019-2022 годы"</t>
  </si>
  <si>
    <t>Содержание дорог</t>
  </si>
  <si>
    <t>4.9.1</t>
  </si>
  <si>
    <t>797 0409 0200000020 240</t>
  </si>
  <si>
    <t>Содержание автомобильных дорог</t>
  </si>
  <si>
    <t>По территории городского поселения Краснозаводск</t>
  </si>
  <si>
    <t>4.9.2</t>
  </si>
  <si>
    <t>Содержание  автобусных остановок</t>
  </si>
  <si>
    <t>4.9.3</t>
  </si>
  <si>
    <t>Содержание парковочных карманов</t>
  </si>
  <si>
    <t>4.9.4</t>
  </si>
  <si>
    <t>Содержание тротуаров</t>
  </si>
  <si>
    <t>4.9.5</t>
  </si>
  <si>
    <t>797 0409 0200000010 240</t>
  </si>
  <si>
    <t>Оплата кредиторской задолженности по ремонту автодорог в 2018 году</t>
  </si>
  <si>
    <t>4.9.6</t>
  </si>
  <si>
    <t>797 0409 02000S0240 240</t>
  </si>
  <si>
    <t>ул. Театральная-50 лет Октября</t>
  </si>
  <si>
    <t>4.9.9</t>
  </si>
  <si>
    <t xml:space="preserve">Экспертиза качества выполненных работ по капитальному ремонту и ремонту автомобильных дорог общего пользования населенных пунктов  </t>
  </si>
  <si>
    <t>4.9.10</t>
  </si>
  <si>
    <t>Перенос автобусного павильона на автомобильной дороге</t>
  </si>
  <si>
    <t>ул. Театральная</t>
  </si>
  <si>
    <t>4.9.11</t>
  </si>
  <si>
    <t xml:space="preserve">Приведение в нормативное состояние автомобильной дороги </t>
  </si>
  <si>
    <t>в районе ул. Овражная</t>
  </si>
  <si>
    <t>4.9.12</t>
  </si>
  <si>
    <t>4.9.13</t>
  </si>
  <si>
    <t xml:space="preserve">Экспертиза качества выполненных работ по укладки асфальтового покрытия </t>
  </si>
  <si>
    <t>во дворе д.3 по ул. 50 лет Октября</t>
  </si>
  <si>
    <t>4.9.7</t>
  </si>
  <si>
    <t>797 0409 0610100010 240</t>
  </si>
  <si>
    <t xml:space="preserve">Финансирование работ по  комплексному благоустройству дворовых территорий  населенных пунктов  в рамках Государственной программы Московской области "Формирование современной комфортной городской среды" </t>
  </si>
  <si>
    <t>4.9.8</t>
  </si>
  <si>
    <t>797 0409 061F2S2740 240</t>
  </si>
  <si>
    <t xml:space="preserve">Финансирование работ по  ремонту   дворовых территорий </t>
  </si>
  <si>
    <t>4.10.1</t>
  </si>
  <si>
    <t>797 0410 06401S0940 240</t>
  </si>
  <si>
    <t>0412</t>
  </si>
  <si>
    <t>4.12.1</t>
  </si>
  <si>
    <t>797 0412 1200000010 240</t>
  </si>
  <si>
    <t>Формирование земельных участков  на территории  городского поселения</t>
  </si>
  <si>
    <t>0500</t>
  </si>
  <si>
    <t>0501</t>
  </si>
  <si>
    <t>5.1.3</t>
  </si>
  <si>
    <t>797 0501 0800009602 240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</si>
  <si>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и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</si>
  <si>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797 0501 08000S9602 240</t>
  </si>
  <si>
    <t>5.1.4</t>
  </si>
  <si>
    <t>797 0501 1100000010 240</t>
  </si>
  <si>
    <t>5.13.22</t>
  </si>
  <si>
    <t>797 0501 0630200020 240</t>
  </si>
  <si>
    <t>Взнос региональному оператору за капитальный ремонт муниципального жилищного фонда</t>
  </si>
  <si>
    <t>5.13.23</t>
  </si>
  <si>
    <t>797 0501 0630200030 240</t>
  </si>
  <si>
    <t>Содержание незаселенного муниципального жилищного фонда</t>
  </si>
  <si>
    <t>5.13.24</t>
  </si>
  <si>
    <t>Экспертиза конструктивных элементов МЖД</t>
  </si>
  <si>
    <t>ул. Горького д.3,5,14,25,27, Строителей 10, 1 Мая 2</t>
  </si>
  <si>
    <t>5.13.25</t>
  </si>
  <si>
    <t>797 0501 06301S0950 240</t>
  </si>
  <si>
    <t xml:space="preserve">Финансирование работ по ремонту подъездов за счет субсидии и за счет средств местного бюджета в рамках Государственной программы Московской области "Формирование современной комфортной городской среды" </t>
  </si>
  <si>
    <t>5.13.26</t>
  </si>
  <si>
    <t xml:space="preserve">797 0501 0630200020 240 </t>
  </si>
  <si>
    <t>Снос и утилизация расселенных аварийных домов</t>
  </si>
  <si>
    <t>5.13.27</t>
  </si>
  <si>
    <t xml:space="preserve"> между подъездом и квартирой №7 многоквартирного жилого дома №7 по улице Трудовые резервы </t>
  </si>
  <si>
    <t>0502</t>
  </si>
  <si>
    <t>5.2.1</t>
  </si>
  <si>
    <t>797 0502 0300000010 240</t>
  </si>
  <si>
    <t>Оплата кредиторской задолженности за выполненные работы в 2018 году</t>
  </si>
  <si>
    <t>Ремонт розлива ХВС, Ремонт кровли котельной №3</t>
  </si>
  <si>
    <t>5.2.2</t>
  </si>
  <si>
    <t>Обследование скважины</t>
  </si>
  <si>
    <t>ВЗУ-3  скв.№8</t>
  </si>
  <si>
    <t>5.2.3</t>
  </si>
  <si>
    <t>Восстановление  скважины</t>
  </si>
  <si>
    <t>5.2.4</t>
  </si>
  <si>
    <t>Капитальный ремонт здания</t>
  </si>
  <si>
    <t>КНС ул. Новая</t>
  </si>
  <si>
    <t>5.2.5</t>
  </si>
  <si>
    <t>Финансирование работ по ремонту тепловой сети от здания бойлерной до стадиона</t>
  </si>
  <si>
    <t>5.2.6</t>
  </si>
  <si>
    <t>Закупка насосного агрегата</t>
  </si>
  <si>
    <t>0503</t>
  </si>
  <si>
    <t>Оплата эл. энергии за уличное освещение( согласно потребленного объема)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</si>
  <si>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</si>
  <si>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</si>
  <si>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5.2.7</t>
  </si>
  <si>
    <t>797 0502 0300000020 840</t>
  </si>
  <si>
    <t>5.2.8</t>
  </si>
  <si>
    <t>Фильтрация воды ГВС и отопления на обратке в котельной №3</t>
  </si>
  <si>
    <t>Ремонт автомобильных дорог, тротуаров, устройство парковок. Установка новых автобусных остановок, замена и ремонт старых. Приобретение дорожных знаков.</t>
  </si>
  <si>
    <t>4.9.14</t>
  </si>
  <si>
    <t>Оплата штрафов</t>
  </si>
  <si>
    <t>5.2.9</t>
  </si>
  <si>
    <t>Монтаж бака-аккумулятора объемом 80 куб.м. на котельной в дер.Семенково</t>
  </si>
  <si>
    <t>5.32.33</t>
  </si>
  <si>
    <t>в районе дома №3 по ул.50 лет Октября</t>
  </si>
  <si>
    <t>1.13.3</t>
  </si>
  <si>
    <t>Ремонт бани</t>
  </si>
  <si>
    <t>ул.Строителей, д.20</t>
  </si>
  <si>
    <t>5.32.34</t>
  </si>
  <si>
    <t>Ремонт освещения на детских площадках</t>
  </si>
  <si>
    <t>ул.50 лет Октября д.3, ул.Новая д.1</t>
  </si>
  <si>
    <t>Ремонтные работы по укреплению несущей стены  (за счет средств резервного фонда)</t>
  </si>
  <si>
    <t>5.13.29</t>
  </si>
  <si>
    <t>5.13.30</t>
  </si>
  <si>
    <t>5.13.31</t>
  </si>
  <si>
    <t>Ремонт отмостки (за счет средств резервного фонда)</t>
  </si>
  <si>
    <t>у домов №1-9 по ул.40 лет Победы</t>
  </si>
  <si>
    <t>у домов №5-9, 18, 19 в д.Семенково</t>
  </si>
  <si>
    <t>у дома №3 по ул.50 лет Октября</t>
  </si>
  <si>
    <t>Приложение № 3</t>
  </si>
  <si>
    <t>5.32.50</t>
  </si>
  <si>
    <t>Приведение в нормативное состояние контейнерных площадок</t>
  </si>
  <si>
    <t xml:space="preserve">Перенос эл.кабеля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</si>
  <si>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</si>
  <si>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</si>
  <si>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>5.2.10</t>
  </si>
  <si>
    <t>797 0502 0300461430 810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</si>
  <si>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</si>
  <si>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</si>
  <si>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</si>
  <si>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5.2.11</t>
  </si>
  <si>
    <t>к Решению Совета депутатов</t>
  </si>
  <si>
    <t xml:space="preserve">Сергиево-Посадского городского </t>
  </si>
  <si>
    <t>округа Московской  области</t>
  </si>
  <si>
    <t xml:space="preserve">                                                                                    к Решению Совета депутатов</t>
  </si>
  <si>
    <t xml:space="preserve">                                                                                    Сергиево-Посадского городского </t>
  </si>
  <si>
    <t xml:space="preserve">                                                                                    округа Московской  области</t>
  </si>
  <si>
    <t xml:space="preserve">                                                                                    Приложение № 11</t>
  </si>
  <si>
    <t xml:space="preserve">                                                                                    к Решению городского поселения</t>
  </si>
  <si>
    <t xml:space="preserve">                                                                                    Краснозаводск Сергиево-Посадского</t>
  </si>
  <si>
    <t xml:space="preserve">                                                                                    муниципального района Московской</t>
  </si>
  <si>
    <t xml:space="preserve">                                                                                    области</t>
  </si>
  <si>
    <t xml:space="preserve">                                                                                    от  «07 »ноября  2018 г. №2/70</t>
  </si>
  <si>
    <t>Государственная программа Московской области " Формирование комфортной городской среды"</t>
  </si>
  <si>
    <t>06 2 04 61350</t>
  </si>
  <si>
    <t>797 0503 0620461350 240</t>
  </si>
  <si>
    <t xml:space="preserve">     Приложение № 1</t>
  </si>
  <si>
    <t xml:space="preserve">     к Решению городского поселения </t>
  </si>
  <si>
    <t xml:space="preserve">     Краснозаводск Сергиево-Посадского</t>
  </si>
  <si>
    <t xml:space="preserve">     муниципального района Московской области</t>
  </si>
  <si>
    <t xml:space="preserve">     от  «07 »ноября  2018 г. №2/70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</si>
  <si>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2019 год </t>
  </si>
  <si>
    <t>Коды</t>
  </si>
  <si>
    <t>НАЛОГОВЫЕ  И НЕНАЛОГОВЫЕ ДОХОДЫ</t>
  </si>
  <si>
    <t>000 1 00 00000 00 0000 000</t>
  </si>
  <si>
    <t>НАЛОГОВЫЕ ДОХОДЫ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</si>
  <si>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</si>
  <si>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</si>
  <si>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</si>
  <si>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</si>
  <si>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</si>
  <si>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</si>
  <si>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</si>
  <si>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</si>
  <si>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</si>
  <si>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</si>
  <si>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</si>
  <si>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</si>
  <si>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000 1 05 00000 00 0000 000 </t>
  </si>
  <si>
    <t>НАЛОГИ НА СОВОКУПНЫЙ ДОХОД</t>
  </si>
  <si>
    <t xml:space="preserve">000 1 05 03010 01 0000 110 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</si>
  <si>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</si>
  <si>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</si>
  <si>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</si>
  <si>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</si>
  <si>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</si>
  <si>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000 1 06 06000 13 0000 110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</si>
  <si>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</si>
  <si>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</si>
  <si>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</si>
  <si>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</si>
  <si>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года), мобилизуемый на территориях городских  поселений</t>
  </si>
  <si>
    <t>НЕНАЛОГОВЫЕ ДОХОДЫ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</si>
  <si>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</si>
  <si>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</si>
  <si>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 xml:space="preserve">000 1 11 05013 00 0000 120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</si>
  <si>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</si>
  <si>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</si>
  <si>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</si>
  <si>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</si>
  <si>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 Доходы от сдачи в аренду имущества, составляющего казну поселения (за исключением земельных участков)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</si>
  <si>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</si>
  <si>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</si>
  <si>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</si>
  <si>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</si>
  <si>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</si>
  <si>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</si>
  <si>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</si>
  <si>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</si>
  <si>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</si>
  <si>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</si>
  <si>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</si>
  <si>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</si>
  <si>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000 1 16 90050 13 0000 140</t>
  </si>
  <si>
    <t>ШТРАФЫ, САНКЦИИ, ВОЗМЕЩЕНИЕ УЩЕРБА</t>
  </si>
  <si>
    <t>000 1 17 05050 13 0000 180</t>
  </si>
  <si>
    <t xml:space="preserve">ПРОЧИЕ НЕНАЛОГОВЫЕ ДОХОДЫ 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</si>
  <si>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</si>
  <si>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</si>
  <si>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</si>
  <si>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</si>
  <si>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000 2 02 15001  13 0000 150</t>
  </si>
  <si>
    <t>Дотации бюджетам городских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</si>
  <si>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</si>
  <si>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</si>
  <si>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</si>
  <si>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</si>
  <si>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</si>
  <si>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</si>
  <si>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000 2 02 25228 13 0000 150</t>
  </si>
  <si>
    <t>Субсидии бюджетам городских поселений  на оснащение объектов споривной инфраструктуры спортивно-технологическим оборудованием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</si>
  <si>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</si>
  <si>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</si>
  <si>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</si>
  <si>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</si>
  <si>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000 2 02 30000 00 0000 150</t>
  </si>
  <si>
    <t xml:space="preserve">Субвенции  бюджетам бюджетной системы Российской Федерации 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</si>
  <si>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</si>
  <si>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</si>
  <si>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</si>
  <si>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</si>
  <si>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000 2 02 49999 13 0000 150</t>
  </si>
  <si>
    <t>Прочие межбюджетные трансферты, передаваемые бюджетам городских поселений</t>
  </si>
  <si>
    <t xml:space="preserve">Всего доходов </t>
  </si>
  <si>
    <t>Приложение № 4</t>
  </si>
  <si>
    <t>Источники внутреннего финансирования дефицита бюджета на 2019 год</t>
  </si>
  <si>
    <t>КОД</t>
  </si>
  <si>
    <t>Дефицит бюджета городского поселения Краснозаводск  Сергиево-Посадского муниципального района</t>
  </si>
  <si>
    <t xml:space="preserve">Кредиты кредитных организаций в валюте Российской Федерации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</si>
  <si>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</si>
  <si>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</si>
  <si>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000 0102 00 00 00 0000 700 </t>
  </si>
  <si>
    <t xml:space="preserve">Получение кредитов от кредитных организаций бюджетами поселений  в валюте Российской Федерации </t>
  </si>
  <si>
    <t xml:space="preserve">797 0102 00 00 13 0000 710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</si>
  <si>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</si>
  <si>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</si>
  <si>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поселений кредитов от кредитных организаций в валюте Российской Федерации</t>
  </si>
  <si>
    <t xml:space="preserve">797 0102 00 0013 0000 810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</si>
  <si>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</si>
  <si>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</si>
  <si>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</si>
  <si>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000 0103 01 00 00 0000 700   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</si>
  <si>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</si>
  <si>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 xml:space="preserve">797 0103 01 00 13 0000 710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</si>
  <si>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</si>
  <si>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</si>
  <si>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</si>
  <si>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797 0103 01 00 13 0000 810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</si>
  <si>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</si>
  <si>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</si>
  <si>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 бюджетов</t>
  </si>
  <si>
    <t>000 0105 00 00 00 0000 500</t>
  </si>
  <si>
    <t>Увеличение прочих остатков  денежных средств бюджетов</t>
  </si>
  <si>
    <t>000 0105 02 01 00 0000 510</t>
  </si>
  <si>
    <t>Увеличение прочих остатков денежных средств бюджетов поселений</t>
  </si>
  <si>
    <t>797 0105 02 01 10 0000 510</t>
  </si>
  <si>
    <t>Уменьшение остатков средств бюджетов</t>
  </si>
  <si>
    <t>000 0105 00 00 00 0000 600</t>
  </si>
  <si>
    <t>Уменьшение прочих остатков  денежных средств бюджетов</t>
  </si>
  <si>
    <t>000 0105 02 01 00 0000 610</t>
  </si>
  <si>
    <t>Уменьшение прочих остатков денежных средств бюджетов поселений</t>
  </si>
  <si>
    <t>797 0105 02 01 10 0000 610</t>
  </si>
  <si>
    <t>Приложение № 5</t>
  </si>
  <si>
    <t xml:space="preserve">     к Решению Совета депутатов</t>
  </si>
  <si>
    <t xml:space="preserve">     Сергиево-Посадского городского </t>
  </si>
  <si>
    <t xml:space="preserve">     округа Московской области</t>
  </si>
  <si>
    <t xml:space="preserve">                                                                                    Приложение № 6</t>
  </si>
  <si>
    <t>от 26.12.2019 №14/04-МЗ</t>
  </si>
  <si>
    <t xml:space="preserve">                                                                                    от 26.12.2019 №14/04-МЗ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</si>
</sst>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00000"/>
    <numFmt numFmtId="182" formatCode="#,##0.0_ ;\-#,##0.0\ 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_р_."/>
    <numFmt numFmtId="194" formatCode="#,##0.0_р_."/>
    <numFmt numFmtId="195" formatCode="#,##0.00_р_."/>
    <numFmt numFmtId="196" formatCode="#,##0_ ;\-#,##0\ "/>
    <numFmt numFmtId="197" formatCode="#,##0.00_ ;[Red]\-#,##0.00_ "/>
    <numFmt numFmtId="198" formatCode="0.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&quot;р.&quot;"/>
    <numFmt numFmtId="208" formatCode="[$-FC19]d\ mmmm\ yyyy\ &quot;г.&quot;"/>
    <numFmt numFmtId="209" formatCode="[$-419]mmmm\ yyyy;@"/>
    <numFmt numFmtId="210" formatCode="0.00000"/>
    <numFmt numFmtId="211" formatCode="0.000000000"/>
    <numFmt numFmtId="212" formatCode="0.0000"/>
  </numFmts>
  <fonts count="33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24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173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7" fillId="0" borderId="10" xfId="57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6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7" fillId="0" borderId="10" xfId="57" applyNumberFormat="1" applyFont="1" applyFill="1" applyBorder="1" applyAlignment="1">
      <alignment horizontal="center" wrapText="1"/>
      <protection/>
    </xf>
    <xf numFmtId="49" fontId="7" fillId="0" borderId="10" xfId="57" applyNumberFormat="1" applyFont="1" applyFill="1" applyBorder="1" applyAlignment="1">
      <alignment horizontal="right" wrapText="1"/>
      <protection/>
    </xf>
    <xf numFmtId="172" fontId="7" fillId="0" borderId="1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vertical="center" wrapText="1"/>
    </xf>
    <xf numFmtId="17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wrapText="1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49" fontId="5" fillId="0" borderId="0" xfId="58" applyNumberFormat="1" applyFont="1" applyFill="1" applyAlignment="1">
      <alignment horizontal="right" vertical="center"/>
      <protection/>
    </xf>
    <xf numFmtId="49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4" fontId="5" fillId="0" borderId="0" xfId="58" applyNumberFormat="1" applyFont="1" applyFill="1" applyAlignment="1">
      <alignment horizontal="right" vertical="center"/>
      <protection/>
    </xf>
    <xf numFmtId="0" fontId="5" fillId="0" borderId="0" xfId="58" applyFont="1" applyFill="1">
      <alignment/>
      <protection/>
    </xf>
    <xf numFmtId="49" fontId="12" fillId="0" borderId="14" xfId="58" applyNumberFormat="1" applyFont="1" applyFill="1" applyBorder="1" applyAlignment="1">
      <alignment horizontal="right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174" fontId="13" fillId="0" borderId="10" xfId="58" applyNumberFormat="1" applyFont="1" applyFill="1" applyBorder="1" applyAlignment="1">
      <alignment horizontal="left" vertical="center" wrapText="1"/>
      <protection/>
    </xf>
    <xf numFmtId="0" fontId="12" fillId="0" borderId="0" xfId="58" applyFont="1" applyFill="1">
      <alignment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2" fontId="6" fillId="0" borderId="10" xfId="58" applyNumberFormat="1" applyFont="1" applyFill="1" applyBorder="1" applyAlignment="1">
      <alignment horizontal="right" wrapText="1"/>
      <protection/>
    </xf>
    <xf numFmtId="0" fontId="9" fillId="0" borderId="0" xfId="58" applyFont="1" applyFill="1">
      <alignment/>
      <protection/>
    </xf>
    <xf numFmtId="172" fontId="5" fillId="0" borderId="10" xfId="58" applyNumberFormat="1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left" vertical="center" wrapText="1"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>
      <alignment/>
      <protection/>
    </xf>
    <xf numFmtId="172" fontId="6" fillId="0" borderId="10" xfId="60" applyNumberFormat="1" applyFont="1" applyFill="1" applyBorder="1" applyAlignment="1">
      <alignment horizontal="right" wrapText="1"/>
      <protection/>
    </xf>
    <xf numFmtId="0" fontId="6" fillId="0" borderId="10" xfId="60" applyFont="1" applyFill="1" applyBorder="1" applyAlignment="1">
      <alignment horizontal="right" vertical="center" wrapText="1"/>
      <protection/>
    </xf>
    <xf numFmtId="49" fontId="5" fillId="0" borderId="10" xfId="58" applyNumberFormat="1" applyFont="1" applyFill="1" applyBorder="1" applyAlignment="1">
      <alignment vertical="center" wrapText="1"/>
      <protection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9" fontId="5" fillId="0" borderId="12" xfId="58" applyNumberFormat="1" applyFont="1" applyFill="1" applyBorder="1" applyAlignment="1">
      <alignment horizontal="right" vertical="center" wrapText="1"/>
      <protection/>
    </xf>
    <xf numFmtId="49" fontId="5" fillId="0" borderId="19" xfId="58" applyNumberFormat="1" applyFont="1" applyFill="1" applyBorder="1" applyAlignment="1">
      <alignment horizontal="right" vertical="center" wrapText="1"/>
      <protection/>
    </xf>
    <xf numFmtId="49" fontId="5" fillId="0" borderId="14" xfId="58" applyNumberFormat="1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72" fontId="5" fillId="0" borderId="10" xfId="60" applyNumberFormat="1" applyFont="1" applyFill="1" applyBorder="1" applyAlignment="1">
      <alignment horizontal="right" wrapText="1"/>
      <protection/>
    </xf>
    <xf numFmtId="49" fontId="6" fillId="0" borderId="14" xfId="58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2" fontId="5" fillId="0" borderId="10" xfId="61" applyNumberFormat="1" applyFont="1" applyFill="1" applyBorder="1" applyAlignment="1">
      <alignment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0" xfId="58" applyFont="1" applyFill="1" applyBorder="1" applyAlignment="1">
      <alignment vertical="top" wrapText="1"/>
      <protection/>
    </xf>
    <xf numFmtId="172" fontId="5" fillId="0" borderId="10" xfId="58" applyNumberFormat="1" applyFont="1" applyFill="1" applyBorder="1">
      <alignment/>
      <protection/>
    </xf>
    <xf numFmtId="0" fontId="5" fillId="0" borderId="14" xfId="58" applyFont="1" applyFill="1" applyBorder="1" applyAlignment="1">
      <alignment vertical="top" wrapText="1"/>
      <protection/>
    </xf>
    <xf numFmtId="49" fontId="5" fillId="0" borderId="20" xfId="58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 applyBorder="1" applyAlignment="1">
      <alignment horizontal="right" wrapText="1"/>
      <protection/>
    </xf>
    <xf numFmtId="49" fontId="6" fillId="0" borderId="20" xfId="58" applyNumberFormat="1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49" fontId="6" fillId="0" borderId="18" xfId="60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/>
      <protection/>
    </xf>
    <xf numFmtId="172" fontId="6" fillId="0" borderId="10" xfId="58" applyNumberFormat="1" applyFont="1" applyFill="1" applyBorder="1" applyAlignment="1">
      <alignment/>
      <protection/>
    </xf>
    <xf numFmtId="0" fontId="5" fillId="0" borderId="10" xfId="62" applyFont="1" applyFill="1" applyBorder="1" applyAlignment="1">
      <alignment horizontal="center" vertical="top" wrapText="1"/>
      <protection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62" applyFont="1" applyFill="1" applyBorder="1" applyAlignment="1">
      <alignment horizontal="left" vertical="top" wrapText="1"/>
      <protection/>
    </xf>
    <xf numFmtId="172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172" fontId="5" fillId="0" borderId="13" xfId="58" applyNumberFormat="1" applyFont="1" applyFill="1" applyBorder="1" applyAlignment="1">
      <alignment/>
      <protection/>
    </xf>
    <xf numFmtId="0" fontId="5" fillId="0" borderId="10" xfId="58" applyFont="1" applyFill="1" applyBorder="1">
      <alignment/>
      <protection/>
    </xf>
    <xf numFmtId="0" fontId="5" fillId="0" borderId="10" xfId="0" applyFont="1" applyFill="1" applyBorder="1" applyAlignment="1">
      <alignment horizontal="left" vertical="top" wrapText="1"/>
    </xf>
    <xf numFmtId="49" fontId="5" fillId="0" borderId="14" xfId="58" applyNumberFormat="1" applyFont="1" applyFill="1" applyBorder="1" applyAlignment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vertical="center"/>
      <protection/>
    </xf>
    <xf numFmtId="172" fontId="11" fillId="0" borderId="10" xfId="60" applyNumberFormat="1" applyFont="1" applyFill="1" applyBorder="1" applyAlignment="1">
      <alignment horizontal="right" wrapText="1"/>
      <protection/>
    </xf>
    <xf numFmtId="172" fontId="9" fillId="0" borderId="0" xfId="58" applyNumberFormat="1" applyFont="1" applyFill="1">
      <alignment/>
      <protection/>
    </xf>
    <xf numFmtId="172" fontId="6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49" fontId="5" fillId="0" borderId="23" xfId="58" applyNumberFormat="1" applyFont="1" applyFill="1" applyBorder="1" applyAlignment="1">
      <alignment horizontal="right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172" fontId="5" fillId="0" borderId="14" xfId="58" applyNumberFormat="1" applyFont="1" applyFill="1" applyBorder="1">
      <alignment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58" applyFont="1" applyFill="1" applyBorder="1">
      <alignment/>
      <protection/>
    </xf>
    <xf numFmtId="0" fontId="9" fillId="0" borderId="23" xfId="0" applyFont="1" applyFill="1" applyBorder="1" applyAlignment="1">
      <alignment horizontal="left" vertical="center" wrapText="1"/>
    </xf>
    <xf numFmtId="0" fontId="5" fillId="0" borderId="23" xfId="58" applyFont="1" applyFill="1" applyBorder="1" applyAlignment="1">
      <alignment wrapText="1"/>
      <protection/>
    </xf>
    <xf numFmtId="0" fontId="9" fillId="0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5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59" applyFont="1" applyFill="1" applyBorder="1" applyAlignment="1">
      <alignment vertical="top" wrapText="1"/>
      <protection/>
    </xf>
    <xf numFmtId="172" fontId="6" fillId="0" borderId="10" xfId="59" applyNumberFormat="1" applyFont="1" applyFill="1" applyBorder="1" applyAlignment="1">
      <alignment horizontal="right" wrapText="1"/>
      <protection/>
    </xf>
    <xf numFmtId="0" fontId="5" fillId="0" borderId="10" xfId="59" applyFont="1" applyFill="1" applyBorder="1" applyAlignment="1">
      <alignment vertical="top" wrapText="1"/>
      <protection/>
    </xf>
    <xf numFmtId="172" fontId="5" fillId="0" borderId="10" xfId="59" applyNumberFormat="1" applyFont="1" applyFill="1" applyBorder="1" applyAlignment="1">
      <alignment horizontal="right" wrapText="1"/>
      <protection/>
    </xf>
    <xf numFmtId="172" fontId="6" fillId="0" borderId="10" xfId="59" applyNumberFormat="1" applyFont="1" applyFill="1" applyBorder="1" applyAlignment="1">
      <alignment horizontal="right"/>
      <protection/>
    </xf>
    <xf numFmtId="172" fontId="5" fillId="0" borderId="10" xfId="59" applyNumberFormat="1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left" vertical="top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174" fontId="5" fillId="0" borderId="1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Alignment="1">
      <alignment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21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49" fontId="5" fillId="0" borderId="11" xfId="58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8" xfId="62" applyFont="1" applyFill="1" applyBorder="1" applyAlignment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11" fillId="0" borderId="10" xfId="60" applyNumberFormat="1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center" vertical="center" wrapText="1"/>
      <protection/>
    </xf>
    <xf numFmtId="49" fontId="5" fillId="0" borderId="27" xfId="58" applyNumberFormat="1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зменения март 2013" xfId="57"/>
    <cellStyle name="Обычный_План финансирования-2014г" xfId="58"/>
    <cellStyle name="Обычный_Прилож. 1  доходы 2012" xfId="59"/>
    <cellStyle name="Обычный_Прилож. №1 к ср срочному плану 2011-2013" xfId="60"/>
    <cellStyle name="Обычный_Приложение 9 - план финансирования 2015" xfId="61"/>
    <cellStyle name="Обычный_приложения с комментмарт 201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8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2.625" style="203" customWidth="1"/>
    <col min="2" max="2" width="66.625" style="9" customWidth="1"/>
    <col min="3" max="3" width="14.625" style="10" customWidth="1"/>
    <col min="4" max="4" width="10.375" style="9" customWidth="1"/>
    <col min="5" max="6" width="9.625" style="9" customWidth="1"/>
    <col min="7" max="16384" width="9.125" style="9" customWidth="1"/>
  </cols>
  <sheetData>
    <row r="1" ht="15.75">
      <c r="B1" s="204" t="s">
        <v>603</v>
      </c>
    </row>
    <row r="2" ht="15.75">
      <c r="B2" s="204" t="s">
        <v>730</v>
      </c>
    </row>
    <row r="3" ht="15.75">
      <c r="B3" s="204" t="s">
        <v>731</v>
      </c>
    </row>
    <row r="4" ht="15.75">
      <c r="B4" s="204" t="s">
        <v>732</v>
      </c>
    </row>
    <row r="5" ht="15.75">
      <c r="B5" s="204" t="s">
        <v>734</v>
      </c>
    </row>
    <row r="6" ht="15.75">
      <c r="B6" s="204" t="s">
        <v>603</v>
      </c>
    </row>
    <row r="7" ht="15.75">
      <c r="B7" s="204" t="s">
        <v>604</v>
      </c>
    </row>
    <row r="8" ht="15.75">
      <c r="B8" s="204" t="s">
        <v>605</v>
      </c>
    </row>
    <row r="9" ht="15.75">
      <c r="B9" s="204" t="s">
        <v>606</v>
      </c>
    </row>
    <row r="10" ht="15.75">
      <c r="B10" s="204" t="s">
        <v>607</v>
      </c>
    </row>
    <row r="11" ht="15.75">
      <c r="B11" s="204"/>
    </row>
    <row r="12" spans="1:2" ht="45.75" customHeight="1">
      <c r="A12" s="239" t="s">
        <v>608</v>
      </c>
      <c r="B12" s="239"/>
    </row>
    <row r="13" ht="15.75">
      <c r="B13" s="11"/>
    </row>
    <row r="14" spans="1:3" s="206" customFormat="1" ht="15.75">
      <c r="A14" s="12" t="s">
        <v>609</v>
      </c>
      <c r="B14" s="12" t="s">
        <v>67</v>
      </c>
      <c r="C14" s="205" t="s">
        <v>68</v>
      </c>
    </row>
    <row r="15" spans="1:3" s="206" customFormat="1" ht="15.75">
      <c r="A15" s="12"/>
      <c r="B15" s="207" t="s">
        <v>610</v>
      </c>
      <c r="C15" s="13">
        <f>C16+C30</f>
        <v>340785.53</v>
      </c>
    </row>
    <row r="16" spans="1:3" s="206" customFormat="1" ht="15.75">
      <c r="A16" s="12" t="s">
        <v>611</v>
      </c>
      <c r="B16" s="208" t="s">
        <v>612</v>
      </c>
      <c r="C16" s="13">
        <f>C17+C18+C25+C28+C23</f>
        <v>151307.2</v>
      </c>
    </row>
    <row r="17" spans="1:4" ht="15.75">
      <c r="A17" s="14" t="s">
        <v>613</v>
      </c>
      <c r="B17" s="15" t="s">
        <v>614</v>
      </c>
      <c r="C17" s="13">
        <f>109160-3292</f>
        <v>105868</v>
      </c>
      <c r="D17" s="10"/>
    </row>
    <row r="18" spans="1:5" ht="47.25">
      <c r="A18" s="16" t="s">
        <v>615</v>
      </c>
      <c r="B18" s="209" t="s">
        <v>616</v>
      </c>
      <c r="C18" s="210">
        <f>C19+C20+C21+C22</f>
        <v>6277</v>
      </c>
      <c r="E18" s="10"/>
    </row>
    <row r="19" spans="1:3" ht="78.75">
      <c r="A19" s="14" t="s">
        <v>617</v>
      </c>
      <c r="B19" s="211" t="s">
        <v>618</v>
      </c>
      <c r="C19" s="212">
        <v>2595</v>
      </c>
    </row>
    <row r="20" spans="1:3" ht="94.5">
      <c r="A20" s="14" t="s">
        <v>619</v>
      </c>
      <c r="B20" s="211" t="s">
        <v>620</v>
      </c>
      <c r="C20" s="212">
        <v>20</v>
      </c>
    </row>
    <row r="21" spans="1:3" ht="93.75" customHeight="1">
      <c r="A21" s="14" t="s">
        <v>621</v>
      </c>
      <c r="B21" s="211" t="s">
        <v>622</v>
      </c>
      <c r="C21" s="212">
        <v>4019</v>
      </c>
    </row>
    <row r="22" spans="1:3" ht="98.25" customHeight="1">
      <c r="A22" s="14" t="s">
        <v>623</v>
      </c>
      <c r="B22" s="211" t="s">
        <v>624</v>
      </c>
      <c r="C22" s="212">
        <v>-357</v>
      </c>
    </row>
    <row r="23" spans="1:3" ht="21.75" customHeight="1">
      <c r="A23" s="14" t="s">
        <v>625</v>
      </c>
      <c r="B23" s="209" t="s">
        <v>626</v>
      </c>
      <c r="C23" s="212">
        <f>C24</f>
        <v>9.2</v>
      </c>
    </row>
    <row r="24" spans="1:3" ht="26.25" customHeight="1">
      <c r="A24" s="14" t="s">
        <v>627</v>
      </c>
      <c r="B24" s="211" t="s">
        <v>628</v>
      </c>
      <c r="C24" s="212">
        <v>9.2</v>
      </c>
    </row>
    <row r="25" spans="1:3" ht="15.75">
      <c r="A25" s="16" t="s">
        <v>629</v>
      </c>
      <c r="B25" s="209" t="s">
        <v>630</v>
      </c>
      <c r="C25" s="213">
        <f>C26+C27</f>
        <v>39153</v>
      </c>
    </row>
    <row r="26" spans="1:3" ht="49.5" customHeight="1">
      <c r="A26" s="14" t="s">
        <v>631</v>
      </c>
      <c r="B26" s="211" t="s">
        <v>632</v>
      </c>
      <c r="C26" s="214">
        <v>3856</v>
      </c>
    </row>
    <row r="27" spans="1:3" ht="15.75">
      <c r="A27" s="14" t="s">
        <v>633</v>
      </c>
      <c r="B27" s="211" t="s">
        <v>634</v>
      </c>
      <c r="C27" s="214">
        <v>35297</v>
      </c>
    </row>
    <row r="28" spans="1:3" ht="47.25" hidden="1">
      <c r="A28" s="16" t="s">
        <v>635</v>
      </c>
      <c r="B28" s="209" t="s">
        <v>636</v>
      </c>
      <c r="C28" s="213">
        <f>C29</f>
        <v>0</v>
      </c>
    </row>
    <row r="29" spans="1:3" ht="31.5" hidden="1">
      <c r="A29" s="14" t="s">
        <v>637</v>
      </c>
      <c r="B29" s="215" t="s">
        <v>638</v>
      </c>
      <c r="C29" s="214">
        <v>0</v>
      </c>
    </row>
    <row r="30" spans="1:3" ht="15.75">
      <c r="A30" s="14"/>
      <c r="B30" s="208" t="s">
        <v>639</v>
      </c>
      <c r="C30" s="216">
        <f>C31+C36+C41+C42</f>
        <v>189478.33</v>
      </c>
    </row>
    <row r="31" spans="1:3" ht="47.25">
      <c r="A31" s="16" t="s">
        <v>640</v>
      </c>
      <c r="B31" s="208" t="s">
        <v>641</v>
      </c>
      <c r="C31" s="216">
        <f>SUM(C32:C35)</f>
        <v>30361.5</v>
      </c>
    </row>
    <row r="32" spans="1:3" ht="81" customHeight="1">
      <c r="A32" s="14" t="s">
        <v>642</v>
      </c>
      <c r="B32" s="217" t="s">
        <v>643</v>
      </c>
      <c r="C32" s="17">
        <f>24078+1000</f>
        <v>25078</v>
      </c>
    </row>
    <row r="33" spans="1:3" ht="72" customHeight="1" hidden="1">
      <c r="A33" s="14" t="s">
        <v>644</v>
      </c>
      <c r="B33" s="217" t="s">
        <v>645</v>
      </c>
      <c r="C33" s="17">
        <v>0</v>
      </c>
    </row>
    <row r="34" spans="1:3" ht="41.25" customHeight="1">
      <c r="A34" s="14" t="s">
        <v>646</v>
      </c>
      <c r="B34" s="215" t="s">
        <v>647</v>
      </c>
      <c r="C34" s="17">
        <f>4064-1500+120+500+1800</f>
        <v>4984</v>
      </c>
    </row>
    <row r="35" spans="1:3" ht="41.25" customHeight="1">
      <c r="A35" s="14" t="s">
        <v>648</v>
      </c>
      <c r="B35" s="215" t="s">
        <v>649</v>
      </c>
      <c r="C35" s="17">
        <f>2375+831-2907+0.5</f>
        <v>299.5</v>
      </c>
    </row>
    <row r="36" spans="1:3" ht="31.5">
      <c r="A36" s="16" t="s">
        <v>650</v>
      </c>
      <c r="B36" s="208" t="s">
        <v>651</v>
      </c>
      <c r="C36" s="216">
        <f>SUM(C37:C40)</f>
        <v>158671.83</v>
      </c>
    </row>
    <row r="37" spans="1:3" ht="95.25" customHeight="1">
      <c r="A37" s="14" t="s">
        <v>652</v>
      </c>
      <c r="B37" s="215" t="s">
        <v>653</v>
      </c>
      <c r="C37" s="17">
        <f>26656-37+4221+133.6-19+8645.4-6926-2500+3245.8+1513.9-673.4+1727.1+415.18+546.75+6628.2+15500+1800+100000-4442.7</f>
        <v>156434.83</v>
      </c>
    </row>
    <row r="38" spans="1:3" ht="46.5" customHeight="1">
      <c r="A38" s="14" t="s">
        <v>654</v>
      </c>
      <c r="B38" s="218" t="s">
        <v>655</v>
      </c>
      <c r="C38" s="17">
        <f>49+430</f>
        <v>479</v>
      </c>
    </row>
    <row r="39" spans="1:3" ht="46.5" customHeight="1">
      <c r="A39" s="219" t="s">
        <v>656</v>
      </c>
      <c r="B39" s="18" t="s">
        <v>657</v>
      </c>
      <c r="C39" s="17">
        <v>886.8</v>
      </c>
    </row>
    <row r="40" spans="1:5" ht="46.5" customHeight="1">
      <c r="A40" s="219" t="s">
        <v>658</v>
      </c>
      <c r="B40" s="18" t="s">
        <v>659</v>
      </c>
      <c r="C40" s="17">
        <v>871.2</v>
      </c>
      <c r="E40" s="10"/>
    </row>
    <row r="41" spans="1:3" ht="33.75" customHeight="1">
      <c r="A41" s="220" t="s">
        <v>660</v>
      </c>
      <c r="B41" s="92" t="s">
        <v>661</v>
      </c>
      <c r="C41" s="17">
        <v>125</v>
      </c>
    </row>
    <row r="42" spans="1:3" ht="31.5" customHeight="1">
      <c r="A42" s="220" t="s">
        <v>662</v>
      </c>
      <c r="B42" s="92" t="s">
        <v>663</v>
      </c>
      <c r="C42" s="17">
        <v>320</v>
      </c>
    </row>
    <row r="43" spans="1:3" s="19" customFormat="1" ht="47.25">
      <c r="A43" s="16" t="s">
        <v>664</v>
      </c>
      <c r="B43" s="221" t="s">
        <v>665</v>
      </c>
      <c r="C43" s="216">
        <f>C44+C46+C52+C54</f>
        <v>124064.23</v>
      </c>
    </row>
    <row r="44" spans="1:3" s="19" customFormat="1" ht="31.5">
      <c r="A44" s="16" t="s">
        <v>666</v>
      </c>
      <c r="B44" s="221" t="s">
        <v>667</v>
      </c>
      <c r="C44" s="216">
        <f>C45</f>
        <v>3683</v>
      </c>
    </row>
    <row r="45" spans="1:3" ht="40.5" customHeight="1">
      <c r="A45" s="14" t="s">
        <v>668</v>
      </c>
      <c r="B45" s="222" t="s">
        <v>669</v>
      </c>
      <c r="C45" s="17">
        <f>391+3292</f>
        <v>3683</v>
      </c>
    </row>
    <row r="46" spans="1:5" ht="40.5" customHeight="1">
      <c r="A46" s="16" t="s">
        <v>670</v>
      </c>
      <c r="B46" s="221" t="s">
        <v>671</v>
      </c>
      <c r="C46" s="216">
        <f>SUM(C47:C51)</f>
        <v>109333.23</v>
      </c>
      <c r="E46" s="10"/>
    </row>
    <row r="47" spans="1:4" ht="97.5" customHeight="1">
      <c r="A47" s="219" t="s">
        <v>672</v>
      </c>
      <c r="B47" s="223" t="s">
        <v>673</v>
      </c>
      <c r="C47" s="17">
        <f>11410+2759.1+2962.49-342</f>
        <v>16789.59</v>
      </c>
      <c r="D47" s="224"/>
    </row>
    <row r="48" spans="1:4" ht="85.5" customHeight="1">
      <c r="A48" s="14" t="s">
        <v>674</v>
      </c>
      <c r="B48" s="217" t="s">
        <v>675</v>
      </c>
      <c r="C48" s="17">
        <v>32180.12</v>
      </c>
      <c r="D48" s="224"/>
    </row>
    <row r="49" spans="1:4" ht="51" customHeight="1">
      <c r="A49" s="7" t="s">
        <v>676</v>
      </c>
      <c r="B49" s="217" t="s">
        <v>677</v>
      </c>
      <c r="C49" s="17">
        <f>53333.3+0.1</f>
        <v>53333.4</v>
      </c>
      <c r="D49" s="224"/>
    </row>
    <row r="50" spans="1:4" ht="37.5" customHeight="1" hidden="1">
      <c r="A50" s="7" t="s">
        <v>678</v>
      </c>
      <c r="B50" s="217" t="s">
        <v>679</v>
      </c>
      <c r="C50" s="17">
        <v>0</v>
      </c>
      <c r="D50" s="224"/>
    </row>
    <row r="51" spans="1:4" ht="30.75" customHeight="1">
      <c r="A51" s="219" t="s">
        <v>680</v>
      </c>
      <c r="B51" s="18" t="s">
        <v>681</v>
      </c>
      <c r="C51" s="17">
        <f>214+295.76+6513.83+5673.79-5673.79+77.89-71.36</f>
        <v>7030.120000000002</v>
      </c>
      <c r="D51" s="9">
        <v>-71.36</v>
      </c>
    </row>
    <row r="52" spans="1:3" ht="30.75" customHeight="1">
      <c r="A52" s="20" t="s">
        <v>682</v>
      </c>
      <c r="B52" s="208" t="s">
        <v>683</v>
      </c>
      <c r="C52" s="216">
        <f>C53</f>
        <v>948</v>
      </c>
    </row>
    <row r="53" spans="1:3" ht="46.5" customHeight="1">
      <c r="A53" s="20" t="s">
        <v>684</v>
      </c>
      <c r="B53" s="15" t="s">
        <v>685</v>
      </c>
      <c r="C53" s="17">
        <v>948</v>
      </c>
    </row>
    <row r="54" spans="1:3" ht="34.5" customHeight="1">
      <c r="A54" s="20" t="s">
        <v>686</v>
      </c>
      <c r="B54" s="225" t="s">
        <v>687</v>
      </c>
      <c r="C54" s="216">
        <f>C55</f>
        <v>10100</v>
      </c>
    </row>
    <row r="55" spans="1:3" ht="34.5" customHeight="1">
      <c r="A55" s="20" t="s">
        <v>688</v>
      </c>
      <c r="B55" s="15" t="s">
        <v>689</v>
      </c>
      <c r="C55" s="17">
        <v>10100</v>
      </c>
    </row>
    <row r="56" spans="1:4" ht="24" customHeight="1">
      <c r="A56" s="21"/>
      <c r="B56" s="208" t="s">
        <v>690</v>
      </c>
      <c r="C56" s="236">
        <f>C30+C16+C43</f>
        <v>464849.76</v>
      </c>
      <c r="D56" s="224"/>
    </row>
    <row r="57" spans="1:2" ht="15.75">
      <c r="A57" s="226"/>
      <c r="B57" s="22"/>
    </row>
    <row r="58" spans="1:2" ht="15" customHeight="1">
      <c r="A58" s="240"/>
      <c r="B58" s="240"/>
    </row>
  </sheetData>
  <sheetProtection selectLockedCells="1" selectUnlockedCells="1"/>
  <mergeCells count="2">
    <mergeCell ref="A12:B12"/>
    <mergeCell ref="A58:B58"/>
  </mergeCells>
  <printOptions/>
  <pageMargins left="1.3779527559055118" right="0.3937007874015748" top="0.7874015748031497" bottom="0.7874015748031497" header="0.5118110236220472" footer="0.5118110236220472"/>
  <pageSetup fitToHeight="2" horizontalDpi="300" verticalDpi="300" orientation="portrait" paperSize="9" scale="70" r:id="rId1"/>
  <headerFooter alignWithMargins="0">
    <oddFooter>&amp;L197/мз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09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64.625" style="9" customWidth="1"/>
    <col min="2" max="2" width="7.125" style="23" customWidth="1"/>
    <col min="3" max="3" width="16.375" style="23" customWidth="1"/>
    <col min="4" max="4" width="5.875" style="23" customWidth="1"/>
    <col min="5" max="5" width="14.625" style="24" customWidth="1"/>
    <col min="6" max="6" width="10.875" style="10" customWidth="1"/>
    <col min="7" max="7" width="12.625" style="25" customWidth="1"/>
    <col min="8" max="8" width="12.125" style="9" customWidth="1"/>
    <col min="9" max="9" width="15.00390625" style="9" customWidth="1"/>
    <col min="10" max="10" width="9.625" style="9" customWidth="1"/>
    <col min="11" max="11" width="9.875" style="9" customWidth="1"/>
    <col min="12" max="14" width="10.125" style="9" customWidth="1"/>
    <col min="15" max="16384" width="9.125" style="9" customWidth="1"/>
  </cols>
  <sheetData>
    <row r="1" spans="2:5" ht="15.75">
      <c r="B1" s="26" t="s">
        <v>69</v>
      </c>
      <c r="D1" s="27"/>
      <c r="E1" s="28"/>
    </row>
    <row r="2" spans="2:5" ht="15.75">
      <c r="B2" s="26" t="s">
        <v>588</v>
      </c>
      <c r="D2" s="27"/>
      <c r="E2" s="28"/>
    </row>
    <row r="3" spans="2:5" ht="15.75">
      <c r="B3" s="26" t="s">
        <v>589</v>
      </c>
      <c r="D3" s="27"/>
      <c r="E3" s="28"/>
    </row>
    <row r="4" spans="2:5" ht="15.75">
      <c r="B4" s="26" t="s">
        <v>590</v>
      </c>
      <c r="E4" s="28"/>
    </row>
    <row r="5" spans="2:5" ht="15" customHeight="1">
      <c r="B5" s="26" t="s">
        <v>734</v>
      </c>
      <c r="D5" s="27"/>
      <c r="E5" s="28"/>
    </row>
    <row r="6" spans="2:5" ht="15.75" hidden="1">
      <c r="B6" s="26"/>
      <c r="D6" s="27"/>
      <c r="E6" s="28"/>
    </row>
    <row r="7" spans="2:5" ht="15.75">
      <c r="B7" s="26"/>
      <c r="D7" s="27"/>
      <c r="E7" s="28"/>
    </row>
    <row r="8" spans="2:5" ht="15.75">
      <c r="B8" s="26" t="s">
        <v>69</v>
      </c>
      <c r="D8" s="27"/>
      <c r="E8" s="28"/>
    </row>
    <row r="9" spans="2:5" ht="15.75">
      <c r="B9" s="26" t="s">
        <v>70</v>
      </c>
      <c r="D9" s="27"/>
      <c r="E9" s="28"/>
    </row>
    <row r="10" spans="2:5" ht="15.75">
      <c r="B10" s="26" t="s">
        <v>71</v>
      </c>
      <c r="D10" s="27"/>
      <c r="E10" s="28"/>
    </row>
    <row r="11" spans="2:5" ht="15.75">
      <c r="B11" s="26" t="s">
        <v>72</v>
      </c>
      <c r="E11" s="28"/>
    </row>
    <row r="12" spans="2:5" ht="15.75">
      <c r="B12" s="26" t="s">
        <v>73</v>
      </c>
      <c r="E12" s="28"/>
    </row>
    <row r="13" spans="2:5" ht="15.75">
      <c r="B13" s="26" t="s">
        <v>74</v>
      </c>
      <c r="D13" s="27"/>
      <c r="E13" s="28"/>
    </row>
    <row r="14" spans="1:5" ht="55.5" customHeight="1">
      <c r="A14" s="242" t="s">
        <v>75</v>
      </c>
      <c r="B14" s="242"/>
      <c r="C14" s="242"/>
      <c r="D14" s="242"/>
      <c r="E14" s="242"/>
    </row>
    <row r="15" ht="15.75">
      <c r="E15" s="24" t="s">
        <v>76</v>
      </c>
    </row>
    <row r="16" spans="1:7" s="11" customFormat="1" ht="15" customHeight="1">
      <c r="A16" s="243" t="s">
        <v>77</v>
      </c>
      <c r="B16" s="243" t="s">
        <v>78</v>
      </c>
      <c r="C16" s="243"/>
      <c r="D16" s="243"/>
      <c r="E16" s="244" t="s">
        <v>79</v>
      </c>
      <c r="F16" s="241" t="s">
        <v>80</v>
      </c>
      <c r="G16" s="29"/>
    </row>
    <row r="17" spans="1:7" s="11" customFormat="1" ht="27" customHeight="1">
      <c r="A17" s="243"/>
      <c r="B17" s="7" t="s">
        <v>81</v>
      </c>
      <c r="C17" s="7" t="s">
        <v>82</v>
      </c>
      <c r="D17" s="7" t="s">
        <v>83</v>
      </c>
      <c r="E17" s="244"/>
      <c r="F17" s="241"/>
      <c r="G17" s="29"/>
    </row>
    <row r="18" spans="1:7" s="35" customFormat="1" ht="15.75">
      <c r="A18" s="30" t="s">
        <v>84</v>
      </c>
      <c r="B18" s="31" t="s">
        <v>85</v>
      </c>
      <c r="C18" s="32"/>
      <c r="D18" s="32"/>
      <c r="E18" s="33">
        <f>E19+E24+E38+E54+E68+E64+E78</f>
        <v>62169.96226</v>
      </c>
      <c r="F18" s="33">
        <f>F19+F24+F38+F54+F68+F78</f>
        <v>0</v>
      </c>
      <c r="G18" s="34"/>
    </row>
    <row r="19" spans="1:7" s="38" customFormat="1" ht="31.5">
      <c r="A19" s="30" t="s">
        <v>86</v>
      </c>
      <c r="B19" s="36" t="s">
        <v>87</v>
      </c>
      <c r="C19" s="31"/>
      <c r="D19" s="31"/>
      <c r="E19" s="13">
        <f>E20</f>
        <v>1801</v>
      </c>
      <c r="F19" s="13">
        <f>F20</f>
        <v>0</v>
      </c>
      <c r="G19" s="37"/>
    </row>
    <row r="20" spans="1:7" s="11" customFormat="1" ht="47.25">
      <c r="A20" s="39" t="s">
        <v>88</v>
      </c>
      <c r="B20" s="40" t="s">
        <v>87</v>
      </c>
      <c r="C20" s="40" t="s">
        <v>89</v>
      </c>
      <c r="D20" s="40"/>
      <c r="E20" s="41">
        <f>E21</f>
        <v>1801</v>
      </c>
      <c r="F20" s="41"/>
      <c r="G20" s="29"/>
    </row>
    <row r="21" spans="1:7" s="11" customFormat="1" ht="15.75">
      <c r="A21" s="39" t="s">
        <v>90</v>
      </c>
      <c r="B21" s="40" t="s">
        <v>87</v>
      </c>
      <c r="C21" s="40" t="s">
        <v>91</v>
      </c>
      <c r="D21" s="40"/>
      <c r="E21" s="41">
        <f>E23</f>
        <v>1801</v>
      </c>
      <c r="F21" s="41"/>
      <c r="G21" s="29"/>
    </row>
    <row r="22" spans="1:7" s="11" customFormat="1" ht="63">
      <c r="A22" s="39" t="s">
        <v>92</v>
      </c>
      <c r="B22" s="40" t="s">
        <v>87</v>
      </c>
      <c r="C22" s="40" t="s">
        <v>91</v>
      </c>
      <c r="D22" s="40" t="s">
        <v>93</v>
      </c>
      <c r="E22" s="41">
        <f>E23</f>
        <v>1801</v>
      </c>
      <c r="F22" s="41"/>
      <c r="G22" s="29"/>
    </row>
    <row r="23" spans="1:7" s="11" customFormat="1" ht="15.75">
      <c r="A23" s="39" t="s">
        <v>94</v>
      </c>
      <c r="B23" s="40" t="s">
        <v>87</v>
      </c>
      <c r="C23" s="40" t="s">
        <v>91</v>
      </c>
      <c r="D23" s="40" t="s">
        <v>95</v>
      </c>
      <c r="E23" s="41">
        <f>1364+437</f>
        <v>1801</v>
      </c>
      <c r="F23" s="41"/>
      <c r="G23" s="29"/>
    </row>
    <row r="24" spans="1:7" s="11" customFormat="1" ht="47.25">
      <c r="A24" s="30" t="s">
        <v>96</v>
      </c>
      <c r="B24" s="36" t="s">
        <v>97</v>
      </c>
      <c r="C24" s="31"/>
      <c r="D24" s="31"/>
      <c r="E24" s="13">
        <f>E25</f>
        <v>5132</v>
      </c>
      <c r="F24" s="13">
        <f>F25</f>
        <v>0</v>
      </c>
      <c r="G24" s="29"/>
    </row>
    <row r="25" spans="1:7" s="11" customFormat="1" ht="47.25">
      <c r="A25" s="39" t="s">
        <v>88</v>
      </c>
      <c r="B25" s="40" t="s">
        <v>97</v>
      </c>
      <c r="C25" s="40" t="s">
        <v>89</v>
      </c>
      <c r="D25" s="40"/>
      <c r="E25" s="17">
        <f>E26+E29</f>
        <v>5132</v>
      </c>
      <c r="F25" s="17"/>
      <c r="G25" s="29"/>
    </row>
    <row r="26" spans="1:7" s="11" customFormat="1" ht="31.5">
      <c r="A26" s="42" t="s">
        <v>98</v>
      </c>
      <c r="B26" s="40" t="s">
        <v>97</v>
      </c>
      <c r="C26" s="40" t="s">
        <v>99</v>
      </c>
      <c r="D26" s="40"/>
      <c r="E26" s="17">
        <f>E28</f>
        <v>1871</v>
      </c>
      <c r="F26" s="17"/>
      <c r="G26" s="29"/>
    </row>
    <row r="27" spans="1:7" s="11" customFormat="1" ht="63">
      <c r="A27" s="39" t="s">
        <v>92</v>
      </c>
      <c r="B27" s="40" t="s">
        <v>97</v>
      </c>
      <c r="C27" s="40" t="s">
        <v>99</v>
      </c>
      <c r="D27" s="40" t="s">
        <v>93</v>
      </c>
      <c r="E27" s="17">
        <f>E28</f>
        <v>1871</v>
      </c>
      <c r="F27" s="17"/>
      <c r="G27" s="29"/>
    </row>
    <row r="28" spans="1:7" s="11" customFormat="1" ht="15.75">
      <c r="A28" s="39" t="s">
        <v>94</v>
      </c>
      <c r="B28" s="40" t="s">
        <v>97</v>
      </c>
      <c r="C28" s="40" t="s">
        <v>99</v>
      </c>
      <c r="D28" s="40" t="s">
        <v>95</v>
      </c>
      <c r="E28" s="17">
        <f>1340+761-230</f>
        <v>1871</v>
      </c>
      <c r="F28" s="17"/>
      <c r="G28" s="29"/>
    </row>
    <row r="29" spans="1:7" s="11" customFormat="1" ht="15.75">
      <c r="A29" s="39" t="s">
        <v>100</v>
      </c>
      <c r="B29" s="40" t="s">
        <v>97</v>
      </c>
      <c r="C29" s="43" t="s">
        <v>101</v>
      </c>
      <c r="D29" s="43"/>
      <c r="E29" s="41">
        <f>E33+E30</f>
        <v>3261</v>
      </c>
      <c r="F29" s="41"/>
      <c r="G29" s="29"/>
    </row>
    <row r="30" spans="1:7" s="11" customFormat="1" ht="15.75">
      <c r="A30" s="39" t="s">
        <v>102</v>
      </c>
      <c r="B30" s="40" t="s">
        <v>97</v>
      </c>
      <c r="C30" s="43" t="s">
        <v>103</v>
      </c>
      <c r="D30" s="40"/>
      <c r="E30" s="41">
        <f>E31</f>
        <v>1251</v>
      </c>
      <c r="F30" s="41"/>
      <c r="G30" s="29"/>
    </row>
    <row r="31" spans="1:7" s="11" customFormat="1" ht="63">
      <c r="A31" s="39" t="s">
        <v>92</v>
      </c>
      <c r="B31" s="40" t="s">
        <v>97</v>
      </c>
      <c r="C31" s="43" t="s">
        <v>103</v>
      </c>
      <c r="D31" s="43" t="s">
        <v>93</v>
      </c>
      <c r="E31" s="41">
        <f>E32</f>
        <v>1251</v>
      </c>
      <c r="F31" s="41"/>
      <c r="G31" s="29"/>
    </row>
    <row r="32" spans="1:7" s="11" customFormat="1" ht="15.75">
      <c r="A32" s="39" t="s">
        <v>94</v>
      </c>
      <c r="B32" s="40" t="s">
        <v>97</v>
      </c>
      <c r="C32" s="43" t="s">
        <v>103</v>
      </c>
      <c r="D32" s="40" t="s">
        <v>95</v>
      </c>
      <c r="E32" s="41">
        <f>1021+230</f>
        <v>1251</v>
      </c>
      <c r="F32" s="41"/>
      <c r="G32" s="29"/>
    </row>
    <row r="33" spans="1:7" s="11" customFormat="1" ht="31.5">
      <c r="A33" s="39" t="s">
        <v>104</v>
      </c>
      <c r="B33" s="40" t="s">
        <v>97</v>
      </c>
      <c r="C33" s="43" t="s">
        <v>105</v>
      </c>
      <c r="D33" s="43"/>
      <c r="E33" s="41">
        <f>E36+E34</f>
        <v>2010</v>
      </c>
      <c r="F33" s="41"/>
      <c r="G33" s="29"/>
    </row>
    <row r="34" spans="1:7" s="11" customFormat="1" ht="15.75">
      <c r="A34" s="39" t="s">
        <v>106</v>
      </c>
      <c r="B34" s="40" t="s">
        <v>97</v>
      </c>
      <c r="C34" s="43" t="s">
        <v>105</v>
      </c>
      <c r="D34" s="43" t="s">
        <v>107</v>
      </c>
      <c r="E34" s="41">
        <f>E35</f>
        <v>1995</v>
      </c>
      <c r="F34" s="41"/>
      <c r="G34" s="29"/>
    </row>
    <row r="35" spans="1:7" s="11" customFormat="1" ht="31.5">
      <c r="A35" s="39" t="s">
        <v>108</v>
      </c>
      <c r="B35" s="40" t="s">
        <v>97</v>
      </c>
      <c r="C35" s="43" t="s">
        <v>105</v>
      </c>
      <c r="D35" s="43" t="s">
        <v>109</v>
      </c>
      <c r="E35" s="41">
        <v>1995</v>
      </c>
      <c r="F35" s="41"/>
      <c r="G35" s="29"/>
    </row>
    <row r="36" spans="1:7" s="11" customFormat="1" ht="15.75">
      <c r="A36" s="39" t="s">
        <v>110</v>
      </c>
      <c r="B36" s="40" t="s">
        <v>97</v>
      </c>
      <c r="C36" s="43" t="s">
        <v>105</v>
      </c>
      <c r="D36" s="43" t="s">
        <v>111</v>
      </c>
      <c r="E36" s="41">
        <f>E37</f>
        <v>15</v>
      </c>
      <c r="F36" s="41"/>
      <c r="G36" s="29"/>
    </row>
    <row r="37" spans="1:7" s="11" customFormat="1" ht="15.75">
      <c r="A37" s="39" t="s">
        <v>112</v>
      </c>
      <c r="B37" s="40" t="s">
        <v>97</v>
      </c>
      <c r="C37" s="43" t="s">
        <v>105</v>
      </c>
      <c r="D37" s="43" t="s">
        <v>113</v>
      </c>
      <c r="E37" s="41">
        <v>15</v>
      </c>
      <c r="F37" s="41"/>
      <c r="G37" s="29"/>
    </row>
    <row r="38" spans="1:7" s="11" customFormat="1" ht="63">
      <c r="A38" s="44" t="s">
        <v>114</v>
      </c>
      <c r="B38" s="31" t="s">
        <v>115</v>
      </c>
      <c r="C38" s="31"/>
      <c r="D38" s="31"/>
      <c r="E38" s="13">
        <f>E39</f>
        <v>25044</v>
      </c>
      <c r="F38" s="13">
        <f>F39</f>
        <v>0</v>
      </c>
      <c r="G38" s="29"/>
    </row>
    <row r="39" spans="1:7" s="11" customFormat="1" ht="47.25">
      <c r="A39" s="39" t="s">
        <v>88</v>
      </c>
      <c r="B39" s="43" t="s">
        <v>115</v>
      </c>
      <c r="C39" s="40" t="s">
        <v>101</v>
      </c>
      <c r="D39" s="43"/>
      <c r="E39" s="41">
        <f>E40</f>
        <v>25044</v>
      </c>
      <c r="F39" s="41"/>
      <c r="G39" s="29"/>
    </row>
    <row r="40" spans="1:7" s="11" customFormat="1" ht="15.75">
      <c r="A40" s="42" t="s">
        <v>100</v>
      </c>
      <c r="B40" s="43" t="s">
        <v>115</v>
      </c>
      <c r="C40" s="40" t="s">
        <v>101</v>
      </c>
      <c r="D40" s="43"/>
      <c r="E40" s="41">
        <f>E41+E44+E47</f>
        <v>25044</v>
      </c>
      <c r="F40" s="41"/>
      <c r="G40" s="29"/>
    </row>
    <row r="41" spans="1:7" s="11" customFormat="1" ht="15.75">
      <c r="A41" s="39" t="s">
        <v>116</v>
      </c>
      <c r="B41" s="43" t="s">
        <v>115</v>
      </c>
      <c r="C41" s="43" t="s">
        <v>117</v>
      </c>
      <c r="D41" s="43"/>
      <c r="E41" s="41">
        <f>E43</f>
        <v>8178.2</v>
      </c>
      <c r="F41" s="41"/>
      <c r="G41" s="29"/>
    </row>
    <row r="42" spans="1:7" s="11" customFormat="1" ht="63">
      <c r="A42" s="39" t="s">
        <v>92</v>
      </c>
      <c r="B42" s="43" t="s">
        <v>115</v>
      </c>
      <c r="C42" s="43" t="s">
        <v>117</v>
      </c>
      <c r="D42" s="43" t="s">
        <v>93</v>
      </c>
      <c r="E42" s="41">
        <f>E43</f>
        <v>8178.2</v>
      </c>
      <c r="F42" s="41"/>
      <c r="G42" s="29"/>
    </row>
    <row r="43" spans="1:7" s="11" customFormat="1" ht="15.75">
      <c r="A43" s="39" t="s">
        <v>94</v>
      </c>
      <c r="B43" s="43" t="s">
        <v>115</v>
      </c>
      <c r="C43" s="43" t="s">
        <v>117</v>
      </c>
      <c r="D43" s="40" t="s">
        <v>95</v>
      </c>
      <c r="E43" s="41">
        <f>5861+330.2+226+1761</f>
        <v>8178.2</v>
      </c>
      <c r="F43" s="41"/>
      <c r="G43" s="29"/>
    </row>
    <row r="44" spans="1:7" s="11" customFormat="1" ht="15.75">
      <c r="A44" s="39" t="s">
        <v>102</v>
      </c>
      <c r="B44" s="43" t="s">
        <v>115</v>
      </c>
      <c r="C44" s="43" t="s">
        <v>103</v>
      </c>
      <c r="D44" s="43"/>
      <c r="E44" s="41">
        <f>E45</f>
        <v>11056.8</v>
      </c>
      <c r="F44" s="41"/>
      <c r="G44" s="29"/>
    </row>
    <row r="45" spans="1:7" s="11" customFormat="1" ht="63">
      <c r="A45" s="39" t="s">
        <v>92</v>
      </c>
      <c r="B45" s="43" t="s">
        <v>115</v>
      </c>
      <c r="C45" s="43" t="s">
        <v>103</v>
      </c>
      <c r="D45" s="43" t="s">
        <v>93</v>
      </c>
      <c r="E45" s="41">
        <f>E46</f>
        <v>11056.8</v>
      </c>
      <c r="F45" s="41"/>
      <c r="G45" s="29"/>
    </row>
    <row r="46" spans="1:7" s="11" customFormat="1" ht="15.75">
      <c r="A46" s="39" t="s">
        <v>94</v>
      </c>
      <c r="B46" s="43" t="s">
        <v>115</v>
      </c>
      <c r="C46" s="43" t="s">
        <v>103</v>
      </c>
      <c r="D46" s="43" t="s">
        <v>95</v>
      </c>
      <c r="E46" s="41">
        <f>5998-330.2+2000+340+3049</f>
        <v>11056.8</v>
      </c>
      <c r="F46" s="41"/>
      <c r="G46" s="29"/>
    </row>
    <row r="47" spans="1:7" s="11" customFormat="1" ht="31.5">
      <c r="A47" s="39" t="s">
        <v>104</v>
      </c>
      <c r="B47" s="43" t="s">
        <v>115</v>
      </c>
      <c r="C47" s="43" t="s">
        <v>105</v>
      </c>
      <c r="D47" s="43"/>
      <c r="E47" s="41">
        <f>E48+E50+E52</f>
        <v>5809</v>
      </c>
      <c r="F47" s="41"/>
      <c r="G47" s="29"/>
    </row>
    <row r="48" spans="1:7" s="11" customFormat="1" ht="63">
      <c r="A48" s="39" t="s">
        <v>92</v>
      </c>
      <c r="B48" s="43" t="s">
        <v>115</v>
      </c>
      <c r="C48" s="43" t="s">
        <v>105</v>
      </c>
      <c r="D48" s="43" t="s">
        <v>93</v>
      </c>
      <c r="E48" s="41">
        <f>E49</f>
        <v>22</v>
      </c>
      <c r="F48" s="41"/>
      <c r="G48" s="29"/>
    </row>
    <row r="49" spans="1:7" s="11" customFormat="1" ht="15.75">
      <c r="A49" s="39" t="s">
        <v>94</v>
      </c>
      <c r="B49" s="43" t="s">
        <v>115</v>
      </c>
      <c r="C49" s="43" t="s">
        <v>105</v>
      </c>
      <c r="D49" s="43" t="s">
        <v>95</v>
      </c>
      <c r="E49" s="41">
        <v>22</v>
      </c>
      <c r="F49" s="41"/>
      <c r="G49" s="29"/>
    </row>
    <row r="50" spans="1:7" s="11" customFormat="1" ht="15.75">
      <c r="A50" s="39" t="s">
        <v>106</v>
      </c>
      <c r="B50" s="43" t="s">
        <v>115</v>
      </c>
      <c r="C50" s="43" t="s">
        <v>105</v>
      </c>
      <c r="D50" s="43" t="s">
        <v>107</v>
      </c>
      <c r="E50" s="41">
        <f>E51</f>
        <v>5692</v>
      </c>
      <c r="F50" s="41"/>
      <c r="G50" s="29"/>
    </row>
    <row r="51" spans="1:7" s="11" customFormat="1" ht="31.5">
      <c r="A51" s="39" t="s">
        <v>108</v>
      </c>
      <c r="B51" s="43" t="s">
        <v>115</v>
      </c>
      <c r="C51" s="43" t="s">
        <v>105</v>
      </c>
      <c r="D51" s="43" t="s">
        <v>109</v>
      </c>
      <c r="E51" s="41">
        <f>5039-832-15+1500</f>
        <v>5692</v>
      </c>
      <c r="F51" s="41"/>
      <c r="G51" s="29"/>
    </row>
    <row r="52" spans="1:7" s="11" customFormat="1" ht="15.75">
      <c r="A52" s="39" t="s">
        <v>110</v>
      </c>
      <c r="B52" s="43" t="s">
        <v>115</v>
      </c>
      <c r="C52" s="43" t="s">
        <v>105</v>
      </c>
      <c r="D52" s="43" t="s">
        <v>111</v>
      </c>
      <c r="E52" s="41">
        <f>E53</f>
        <v>95</v>
      </c>
      <c r="F52" s="41"/>
      <c r="G52" s="29"/>
    </row>
    <row r="53" spans="1:7" s="11" customFormat="1" ht="15.75">
      <c r="A53" s="39" t="s">
        <v>112</v>
      </c>
      <c r="B53" s="43" t="s">
        <v>115</v>
      </c>
      <c r="C53" s="43" t="s">
        <v>105</v>
      </c>
      <c r="D53" s="43" t="s">
        <v>113</v>
      </c>
      <c r="E53" s="41">
        <f>80+15</f>
        <v>95</v>
      </c>
      <c r="F53" s="41"/>
      <c r="G53" s="29"/>
    </row>
    <row r="54" spans="1:7" s="11" customFormat="1" ht="47.25">
      <c r="A54" s="45" t="s">
        <v>118</v>
      </c>
      <c r="B54" s="31" t="s">
        <v>119</v>
      </c>
      <c r="C54" s="31"/>
      <c r="D54" s="31"/>
      <c r="E54" s="13">
        <f>E55</f>
        <v>1782</v>
      </c>
      <c r="F54" s="13">
        <f>F55</f>
        <v>0</v>
      </c>
      <c r="G54" s="29"/>
    </row>
    <row r="55" spans="1:7" s="11" customFormat="1" ht="47.25">
      <c r="A55" s="39" t="s">
        <v>88</v>
      </c>
      <c r="B55" s="43" t="s">
        <v>119</v>
      </c>
      <c r="C55" s="40" t="s">
        <v>89</v>
      </c>
      <c r="D55" s="43"/>
      <c r="E55" s="41">
        <f>E56+E61</f>
        <v>1782</v>
      </c>
      <c r="F55" s="41"/>
      <c r="G55" s="29"/>
    </row>
    <row r="56" spans="1:7" s="11" customFormat="1" ht="31.5">
      <c r="A56" s="39" t="s">
        <v>104</v>
      </c>
      <c r="B56" s="43" t="s">
        <v>119</v>
      </c>
      <c r="C56" s="43" t="s">
        <v>105</v>
      </c>
      <c r="D56" s="43"/>
      <c r="E56" s="41">
        <f>E57+E59</f>
        <v>276</v>
      </c>
      <c r="F56" s="41"/>
      <c r="G56" s="29"/>
    </row>
    <row r="57" spans="1:7" s="11" customFormat="1" ht="15.75">
      <c r="A57" s="39" t="s">
        <v>106</v>
      </c>
      <c r="B57" s="43" t="s">
        <v>119</v>
      </c>
      <c r="C57" s="43" t="s">
        <v>105</v>
      </c>
      <c r="D57" s="43" t="s">
        <v>107</v>
      </c>
      <c r="E57" s="41">
        <f>E58</f>
        <v>275</v>
      </c>
      <c r="F57" s="41"/>
      <c r="G57" s="29"/>
    </row>
    <row r="58" spans="1:7" s="11" customFormat="1" ht="31.5">
      <c r="A58" s="39" t="s">
        <v>108</v>
      </c>
      <c r="B58" s="43" t="s">
        <v>119</v>
      </c>
      <c r="C58" s="43" t="s">
        <v>105</v>
      </c>
      <c r="D58" s="43" t="s">
        <v>109</v>
      </c>
      <c r="E58" s="41">
        <v>275</v>
      </c>
      <c r="F58" s="41"/>
      <c r="G58" s="29"/>
    </row>
    <row r="59" spans="1:7" s="11" customFormat="1" ht="15.75">
      <c r="A59" s="39" t="s">
        <v>110</v>
      </c>
      <c r="B59" s="43" t="s">
        <v>119</v>
      </c>
      <c r="C59" s="43" t="s">
        <v>105</v>
      </c>
      <c r="D59" s="43" t="s">
        <v>111</v>
      </c>
      <c r="E59" s="41">
        <f>E60</f>
        <v>1</v>
      </c>
      <c r="F59" s="41"/>
      <c r="G59" s="29"/>
    </row>
    <row r="60" spans="1:7" s="11" customFormat="1" ht="15.75">
      <c r="A60" s="39" t="s">
        <v>112</v>
      </c>
      <c r="B60" s="43" t="s">
        <v>119</v>
      </c>
      <c r="C60" s="43" t="s">
        <v>105</v>
      </c>
      <c r="D60" s="43" t="s">
        <v>113</v>
      </c>
      <c r="E60" s="41">
        <v>1</v>
      </c>
      <c r="F60" s="41"/>
      <c r="G60" s="29"/>
    </row>
    <row r="61" spans="1:7" s="11" customFormat="1" ht="31.5">
      <c r="A61" s="46" t="s">
        <v>120</v>
      </c>
      <c r="B61" s="43" t="s">
        <v>119</v>
      </c>
      <c r="C61" s="43" t="s">
        <v>101</v>
      </c>
      <c r="D61" s="43"/>
      <c r="E61" s="41">
        <f>E62</f>
        <v>1506</v>
      </c>
      <c r="F61" s="41"/>
      <c r="G61" s="29"/>
    </row>
    <row r="62" spans="1:7" s="11" customFormat="1" ht="63">
      <c r="A62" s="39" t="s">
        <v>92</v>
      </c>
      <c r="B62" s="43" t="s">
        <v>119</v>
      </c>
      <c r="C62" s="40" t="s">
        <v>121</v>
      </c>
      <c r="D62" s="43" t="s">
        <v>93</v>
      </c>
      <c r="E62" s="41">
        <f>E63</f>
        <v>1506</v>
      </c>
      <c r="F62" s="41"/>
      <c r="G62" s="29"/>
    </row>
    <row r="63" spans="1:7" s="11" customFormat="1" ht="15.75">
      <c r="A63" s="39" t="s">
        <v>94</v>
      </c>
      <c r="B63" s="43" t="s">
        <v>119</v>
      </c>
      <c r="C63" s="40" t="s">
        <v>121</v>
      </c>
      <c r="D63" s="43" t="s">
        <v>95</v>
      </c>
      <c r="E63" s="41">
        <f>1264+242</f>
        <v>1506</v>
      </c>
      <c r="F63" s="41"/>
      <c r="G63" s="29"/>
    </row>
    <row r="64" spans="1:8" s="11" customFormat="1" ht="15.75">
      <c r="A64" s="30" t="s">
        <v>122</v>
      </c>
      <c r="B64" s="43" t="s">
        <v>123</v>
      </c>
      <c r="C64" s="40" t="s">
        <v>124</v>
      </c>
      <c r="D64" s="43"/>
      <c r="E64" s="41">
        <f>E65</f>
        <v>712</v>
      </c>
      <c r="F64" s="41"/>
      <c r="G64" s="29"/>
      <c r="H64" s="47"/>
    </row>
    <row r="65" spans="1:7" s="11" customFormat="1" ht="15.75">
      <c r="A65" s="39" t="s">
        <v>125</v>
      </c>
      <c r="B65" s="43" t="s">
        <v>123</v>
      </c>
      <c r="C65" s="40" t="s">
        <v>124</v>
      </c>
      <c r="D65" s="43"/>
      <c r="E65" s="41">
        <f>E66</f>
        <v>712</v>
      </c>
      <c r="F65" s="41"/>
      <c r="G65" s="29"/>
    </row>
    <row r="66" spans="1:7" s="11" customFormat="1" ht="15.75">
      <c r="A66" s="39" t="s">
        <v>110</v>
      </c>
      <c r="B66" s="43" t="s">
        <v>123</v>
      </c>
      <c r="C66" s="40" t="s">
        <v>124</v>
      </c>
      <c r="D66" s="43" t="s">
        <v>111</v>
      </c>
      <c r="E66" s="41">
        <f>E67</f>
        <v>712</v>
      </c>
      <c r="F66" s="41"/>
      <c r="G66" s="29"/>
    </row>
    <row r="67" spans="1:7" s="11" customFormat="1" ht="15.75">
      <c r="A67" s="39" t="s">
        <v>126</v>
      </c>
      <c r="B67" s="43" t="s">
        <v>123</v>
      </c>
      <c r="C67" s="40" t="s">
        <v>124</v>
      </c>
      <c r="D67" s="43" t="s">
        <v>127</v>
      </c>
      <c r="E67" s="41">
        <v>712</v>
      </c>
      <c r="F67" s="41"/>
      <c r="G67" s="29"/>
    </row>
    <row r="68" spans="1:7" s="11" customFormat="1" ht="15.75">
      <c r="A68" s="44" t="s">
        <v>128</v>
      </c>
      <c r="B68" s="31" t="s">
        <v>129</v>
      </c>
      <c r="C68" s="31"/>
      <c r="D68" s="31"/>
      <c r="E68" s="13">
        <f>E69+E74</f>
        <v>5276.162259999999</v>
      </c>
      <c r="F68" s="13">
        <f>F69+F74</f>
        <v>0</v>
      </c>
      <c r="G68" s="29"/>
    </row>
    <row r="69" spans="1:7" s="11" customFormat="1" ht="31.5">
      <c r="A69" s="18" t="s">
        <v>130</v>
      </c>
      <c r="B69" s="43" t="s">
        <v>129</v>
      </c>
      <c r="C69" s="43" t="s">
        <v>131</v>
      </c>
      <c r="D69" s="43"/>
      <c r="E69" s="41">
        <f>E70</f>
        <v>4776.162259999999</v>
      </c>
      <c r="F69" s="41"/>
      <c r="G69" s="29"/>
    </row>
    <row r="70" spans="1:7" s="11" customFormat="1" ht="15.75">
      <c r="A70" s="46" t="s">
        <v>128</v>
      </c>
      <c r="B70" s="43" t="s">
        <v>129</v>
      </c>
      <c r="C70" s="43" t="s">
        <v>131</v>
      </c>
      <c r="D70" s="43"/>
      <c r="E70" s="41">
        <f>E71</f>
        <v>4776.162259999999</v>
      </c>
      <c r="F70" s="41"/>
      <c r="G70" s="29"/>
    </row>
    <row r="71" spans="1:7" s="11" customFormat="1" ht="15.75">
      <c r="A71" s="42" t="s">
        <v>132</v>
      </c>
      <c r="B71" s="43" t="s">
        <v>129</v>
      </c>
      <c r="C71" s="43" t="s">
        <v>131</v>
      </c>
      <c r="D71" s="43"/>
      <c r="E71" s="41">
        <f>E72</f>
        <v>4776.162259999999</v>
      </c>
      <c r="F71" s="41"/>
      <c r="G71" s="29"/>
    </row>
    <row r="72" spans="1:7" s="11" customFormat="1" ht="15.75">
      <c r="A72" s="39" t="s">
        <v>110</v>
      </c>
      <c r="B72" s="43" t="s">
        <v>129</v>
      </c>
      <c r="C72" s="43" t="s">
        <v>131</v>
      </c>
      <c r="D72" s="43" t="s">
        <v>111</v>
      </c>
      <c r="E72" s="41">
        <f>E73</f>
        <v>4776.162259999999</v>
      </c>
      <c r="F72" s="41"/>
      <c r="G72" s="29"/>
    </row>
    <row r="73" spans="1:7" s="11" customFormat="1" ht="15.75">
      <c r="A73" s="42" t="s">
        <v>133</v>
      </c>
      <c r="B73" s="43" t="s">
        <v>129</v>
      </c>
      <c r="C73" s="43" t="s">
        <v>131</v>
      </c>
      <c r="D73" s="43" t="s">
        <v>134</v>
      </c>
      <c r="E73" s="41">
        <f>1000-450.13025+9000-42.08385-776.9306-3954.69304</f>
        <v>4776.162259999999</v>
      </c>
      <c r="F73" s="41"/>
      <c r="G73" s="29"/>
    </row>
    <row r="74" spans="1:7" s="11" customFormat="1" ht="33" customHeight="1">
      <c r="A74" s="48" t="s">
        <v>135</v>
      </c>
      <c r="B74" s="43" t="s">
        <v>129</v>
      </c>
      <c r="C74" s="40" t="s">
        <v>136</v>
      </c>
      <c r="D74" s="32"/>
      <c r="E74" s="41">
        <f>E75</f>
        <v>500</v>
      </c>
      <c r="F74" s="41"/>
      <c r="G74" s="29"/>
    </row>
    <row r="75" spans="1:7" s="11" customFormat="1" ht="34.5" customHeight="1">
      <c r="A75" s="48" t="s">
        <v>137</v>
      </c>
      <c r="B75" s="43" t="s">
        <v>129</v>
      </c>
      <c r="C75" s="40" t="s">
        <v>138</v>
      </c>
      <c r="E75" s="41">
        <f>E76</f>
        <v>500</v>
      </c>
      <c r="F75" s="41"/>
      <c r="G75" s="29"/>
    </row>
    <row r="76" spans="1:7" s="11" customFormat="1" ht="15.75">
      <c r="A76" s="39" t="s">
        <v>110</v>
      </c>
      <c r="B76" s="43" t="s">
        <v>129</v>
      </c>
      <c r="C76" s="40" t="s">
        <v>138</v>
      </c>
      <c r="D76" s="43" t="s">
        <v>111</v>
      </c>
      <c r="E76" s="41">
        <f>E77</f>
        <v>500</v>
      </c>
      <c r="F76" s="41"/>
      <c r="G76" s="29"/>
    </row>
    <row r="77" spans="1:7" s="11" customFormat="1" ht="15.75">
      <c r="A77" s="42" t="s">
        <v>133</v>
      </c>
      <c r="B77" s="43" t="s">
        <v>129</v>
      </c>
      <c r="C77" s="40" t="s">
        <v>138</v>
      </c>
      <c r="D77" s="43" t="s">
        <v>134</v>
      </c>
      <c r="E77" s="41">
        <v>500</v>
      </c>
      <c r="F77" s="41"/>
      <c r="G77" s="29"/>
    </row>
    <row r="78" spans="1:8" s="11" customFormat="1" ht="15.75">
      <c r="A78" s="44" t="s">
        <v>139</v>
      </c>
      <c r="B78" s="31" t="s">
        <v>140</v>
      </c>
      <c r="C78" s="31"/>
      <c r="D78" s="31"/>
      <c r="E78" s="13">
        <f>E79+E89+E85</f>
        <v>22422.8</v>
      </c>
      <c r="F78" s="13"/>
      <c r="G78" s="29"/>
      <c r="H78" s="47"/>
    </row>
    <row r="79" spans="1:7" s="11" customFormat="1" ht="47.25">
      <c r="A79" s="15" t="s">
        <v>141</v>
      </c>
      <c r="B79" s="43" t="s">
        <v>140</v>
      </c>
      <c r="C79" s="43" t="s">
        <v>142</v>
      </c>
      <c r="D79" s="43"/>
      <c r="E79" s="49">
        <f>E80</f>
        <v>9993.8</v>
      </c>
      <c r="F79" s="49"/>
      <c r="G79" s="29"/>
    </row>
    <row r="80" spans="1:7" s="11" customFormat="1" ht="43.5" customHeight="1">
      <c r="A80" s="15" t="s">
        <v>143</v>
      </c>
      <c r="B80" s="43" t="s">
        <v>140</v>
      </c>
      <c r="C80" s="43" t="s">
        <v>144</v>
      </c>
      <c r="D80" s="43"/>
      <c r="E80" s="49">
        <f>E81+E83</f>
        <v>9993.8</v>
      </c>
      <c r="F80" s="49"/>
      <c r="G80" s="29"/>
    </row>
    <row r="81" spans="1:7" s="11" customFormat="1" ht="15.75">
      <c r="A81" s="39" t="s">
        <v>106</v>
      </c>
      <c r="B81" s="43" t="s">
        <v>140</v>
      </c>
      <c r="C81" s="43" t="s">
        <v>144</v>
      </c>
      <c r="D81" s="43" t="s">
        <v>107</v>
      </c>
      <c r="E81" s="49">
        <f>E82</f>
        <v>4630</v>
      </c>
      <c r="F81" s="49"/>
      <c r="G81" s="29"/>
    </row>
    <row r="82" spans="1:7" s="11" customFormat="1" ht="31.5">
      <c r="A82" s="39" t="s">
        <v>108</v>
      </c>
      <c r="B82" s="43" t="s">
        <v>140</v>
      </c>
      <c r="C82" s="43" t="s">
        <v>144</v>
      </c>
      <c r="D82" s="43" t="s">
        <v>109</v>
      </c>
      <c r="E82" s="49">
        <f>6150-2020+500</f>
        <v>4630</v>
      </c>
      <c r="F82" s="49"/>
      <c r="G82" s="29"/>
    </row>
    <row r="83" spans="1:7" s="11" customFormat="1" ht="15.75">
      <c r="A83" s="39" t="s">
        <v>110</v>
      </c>
      <c r="B83" s="43" t="s">
        <v>140</v>
      </c>
      <c r="C83" s="43" t="s">
        <v>144</v>
      </c>
      <c r="D83" s="43" t="s">
        <v>111</v>
      </c>
      <c r="E83" s="49">
        <f>E84</f>
        <v>5363.8</v>
      </c>
      <c r="F83" s="49"/>
      <c r="G83" s="29"/>
    </row>
    <row r="84" spans="1:7" s="11" customFormat="1" ht="15.75">
      <c r="A84" s="39" t="s">
        <v>112</v>
      </c>
      <c r="B84" s="43" t="s">
        <v>140</v>
      </c>
      <c r="C84" s="43" t="s">
        <v>144</v>
      </c>
      <c r="D84" s="43" t="s">
        <v>113</v>
      </c>
      <c r="E84" s="49">
        <f>2020+10000-3000-1676.2-300-380-300-1000</f>
        <v>5363.8</v>
      </c>
      <c r="F84" s="49"/>
      <c r="G84" s="29"/>
    </row>
    <row r="85" spans="1:7" s="11" customFormat="1" ht="31.5">
      <c r="A85" s="15" t="s">
        <v>145</v>
      </c>
      <c r="B85" s="43" t="s">
        <v>140</v>
      </c>
      <c r="C85" s="43" t="s">
        <v>146</v>
      </c>
      <c r="D85" s="43"/>
      <c r="E85" s="41">
        <f>E86</f>
        <v>20</v>
      </c>
      <c r="F85" s="49"/>
      <c r="G85" s="29"/>
    </row>
    <row r="86" spans="1:7" s="11" customFormat="1" ht="15.75">
      <c r="A86" s="15" t="s">
        <v>147</v>
      </c>
      <c r="B86" s="43" t="s">
        <v>140</v>
      </c>
      <c r="C86" s="43" t="s">
        <v>148</v>
      </c>
      <c r="D86" s="43"/>
      <c r="E86" s="41">
        <f>E87</f>
        <v>20</v>
      </c>
      <c r="F86" s="49"/>
      <c r="G86" s="29"/>
    </row>
    <row r="87" spans="1:7" s="11" customFormat="1" ht="15.75">
      <c r="A87" s="50" t="s">
        <v>106</v>
      </c>
      <c r="B87" s="43" t="s">
        <v>140</v>
      </c>
      <c r="C87" s="43" t="s">
        <v>148</v>
      </c>
      <c r="D87" s="43" t="s">
        <v>107</v>
      </c>
      <c r="E87" s="41">
        <f>E88</f>
        <v>20</v>
      </c>
      <c r="F87" s="49"/>
      <c r="G87" s="29"/>
    </row>
    <row r="88" spans="1:7" s="11" customFormat="1" ht="31.5">
      <c r="A88" s="50" t="s">
        <v>108</v>
      </c>
      <c r="B88" s="43" t="s">
        <v>140</v>
      </c>
      <c r="C88" s="43" t="s">
        <v>148</v>
      </c>
      <c r="D88" s="43" t="s">
        <v>109</v>
      </c>
      <c r="E88" s="41">
        <v>20</v>
      </c>
      <c r="F88" s="49"/>
      <c r="G88" s="29"/>
    </row>
    <row r="89" spans="1:7" s="11" customFormat="1" ht="15.75">
      <c r="A89" s="50" t="s">
        <v>149</v>
      </c>
      <c r="B89" s="43" t="s">
        <v>140</v>
      </c>
      <c r="C89" s="40" t="s">
        <v>150</v>
      </c>
      <c r="D89" s="43"/>
      <c r="E89" s="49">
        <f>E90</f>
        <v>12409</v>
      </c>
      <c r="F89" s="49"/>
      <c r="G89" s="29"/>
    </row>
    <row r="90" spans="1:7" s="11" customFormat="1" ht="47.25">
      <c r="A90" s="39" t="s">
        <v>151</v>
      </c>
      <c r="B90" s="43" t="s">
        <v>140</v>
      </c>
      <c r="C90" s="40" t="s">
        <v>152</v>
      </c>
      <c r="D90" s="43"/>
      <c r="E90" s="49">
        <f>E91+E93+E95</f>
        <v>12409</v>
      </c>
      <c r="F90" s="49"/>
      <c r="G90" s="29"/>
    </row>
    <row r="91" spans="1:7" s="11" customFormat="1" ht="63">
      <c r="A91" s="39" t="s">
        <v>92</v>
      </c>
      <c r="B91" s="43" t="s">
        <v>140</v>
      </c>
      <c r="C91" s="40" t="s">
        <v>152</v>
      </c>
      <c r="D91" s="43" t="s">
        <v>93</v>
      </c>
      <c r="E91" s="49">
        <f>E92</f>
        <v>11293</v>
      </c>
      <c r="F91" s="49"/>
      <c r="G91" s="29"/>
    </row>
    <row r="92" spans="1:7" s="11" customFormat="1" ht="15.75">
      <c r="A92" s="39" t="s">
        <v>153</v>
      </c>
      <c r="B92" s="43" t="s">
        <v>140</v>
      </c>
      <c r="C92" s="40" t="s">
        <v>152</v>
      </c>
      <c r="D92" s="43" t="s">
        <v>154</v>
      </c>
      <c r="E92" s="49">
        <f>9260+2033</f>
        <v>11293</v>
      </c>
      <c r="F92" s="49"/>
      <c r="G92" s="29"/>
    </row>
    <row r="93" spans="1:7" s="11" customFormat="1" ht="15.75">
      <c r="A93" s="50" t="s">
        <v>106</v>
      </c>
      <c r="B93" s="43" t="s">
        <v>140</v>
      </c>
      <c r="C93" s="40" t="s">
        <v>152</v>
      </c>
      <c r="D93" s="43" t="s">
        <v>107</v>
      </c>
      <c r="E93" s="49">
        <f>E94</f>
        <v>1113</v>
      </c>
      <c r="F93" s="49"/>
      <c r="G93" s="29"/>
    </row>
    <row r="94" spans="1:7" s="11" customFormat="1" ht="31.5">
      <c r="A94" s="50" t="s">
        <v>108</v>
      </c>
      <c r="B94" s="43" t="s">
        <v>140</v>
      </c>
      <c r="C94" s="40" t="s">
        <v>152</v>
      </c>
      <c r="D94" s="43" t="s">
        <v>109</v>
      </c>
      <c r="E94" s="49">
        <v>1113</v>
      </c>
      <c r="F94" s="49"/>
      <c r="G94" s="29"/>
    </row>
    <row r="95" spans="1:7" s="11" customFormat="1" ht="15.75">
      <c r="A95" s="39" t="s">
        <v>110</v>
      </c>
      <c r="B95" s="43" t="s">
        <v>140</v>
      </c>
      <c r="C95" s="40" t="s">
        <v>152</v>
      </c>
      <c r="D95" s="43" t="s">
        <v>111</v>
      </c>
      <c r="E95" s="49">
        <f>E96</f>
        <v>3</v>
      </c>
      <c r="F95" s="49"/>
      <c r="G95" s="29"/>
    </row>
    <row r="96" spans="1:7" s="11" customFormat="1" ht="15.75">
      <c r="A96" s="39" t="s">
        <v>112</v>
      </c>
      <c r="B96" s="43" t="s">
        <v>140</v>
      </c>
      <c r="C96" s="40" t="s">
        <v>152</v>
      </c>
      <c r="D96" s="43" t="s">
        <v>113</v>
      </c>
      <c r="E96" s="49">
        <v>3</v>
      </c>
      <c r="F96" s="49"/>
      <c r="G96" s="29"/>
    </row>
    <row r="97" spans="1:7" s="35" customFormat="1" ht="15.75">
      <c r="A97" s="44" t="s">
        <v>155</v>
      </c>
      <c r="B97" s="31" t="s">
        <v>156</v>
      </c>
      <c r="C97" s="32"/>
      <c r="D97" s="32"/>
      <c r="E97" s="51">
        <f>E98+E100</f>
        <v>1178</v>
      </c>
      <c r="F97" s="51">
        <f>E97-E99</f>
        <v>948</v>
      </c>
      <c r="G97" s="34"/>
    </row>
    <row r="98" spans="1:7" s="35" customFormat="1" ht="63">
      <c r="A98" s="39" t="s">
        <v>92</v>
      </c>
      <c r="B98" s="43" t="s">
        <v>158</v>
      </c>
      <c r="C98" s="43" t="s">
        <v>117</v>
      </c>
      <c r="D98" s="43" t="s">
        <v>93</v>
      </c>
      <c r="E98" s="41">
        <f>E99</f>
        <v>230</v>
      </c>
      <c r="F98" s="51"/>
      <c r="G98" s="34"/>
    </row>
    <row r="99" spans="1:7" s="35" customFormat="1" ht="15.75">
      <c r="A99" s="39" t="s">
        <v>94</v>
      </c>
      <c r="B99" s="43" t="s">
        <v>158</v>
      </c>
      <c r="C99" s="43" t="s">
        <v>117</v>
      </c>
      <c r="D99" s="43" t="s">
        <v>95</v>
      </c>
      <c r="E99" s="41">
        <v>230</v>
      </c>
      <c r="F99" s="51"/>
      <c r="G99" s="34"/>
    </row>
    <row r="100" spans="1:7" s="11" customFormat="1" ht="15.75">
      <c r="A100" s="52" t="s">
        <v>157</v>
      </c>
      <c r="B100" s="43" t="s">
        <v>158</v>
      </c>
      <c r="C100" s="43" t="s">
        <v>159</v>
      </c>
      <c r="D100" s="43"/>
      <c r="E100" s="41">
        <f>E101</f>
        <v>948</v>
      </c>
      <c r="F100" s="41"/>
      <c r="G100" s="29"/>
    </row>
    <row r="101" spans="1:7" s="11" customFormat="1" ht="31.5">
      <c r="A101" s="52" t="s">
        <v>160</v>
      </c>
      <c r="B101" s="43" t="s">
        <v>158</v>
      </c>
      <c r="C101" s="43" t="s">
        <v>159</v>
      </c>
      <c r="D101" s="43"/>
      <c r="E101" s="41">
        <f>E102+E104</f>
        <v>948</v>
      </c>
      <c r="F101" s="41"/>
      <c r="G101" s="29"/>
    </row>
    <row r="102" spans="1:7" s="11" customFormat="1" ht="63">
      <c r="A102" s="39" t="s">
        <v>92</v>
      </c>
      <c r="B102" s="43" t="s">
        <v>158</v>
      </c>
      <c r="C102" s="43" t="s">
        <v>159</v>
      </c>
      <c r="D102" s="43" t="s">
        <v>93</v>
      </c>
      <c r="E102" s="41">
        <f>E103</f>
        <v>853.7</v>
      </c>
      <c r="F102" s="41"/>
      <c r="G102" s="29"/>
    </row>
    <row r="103" spans="1:7" s="11" customFormat="1" ht="15.75">
      <c r="A103" s="39" t="s">
        <v>94</v>
      </c>
      <c r="B103" s="43" t="s">
        <v>158</v>
      </c>
      <c r="C103" s="43" t="s">
        <v>159</v>
      </c>
      <c r="D103" s="43" t="s">
        <v>95</v>
      </c>
      <c r="E103" s="41">
        <f>705.7+62+9+77</f>
        <v>853.7</v>
      </c>
      <c r="F103" s="41"/>
      <c r="G103" s="29"/>
    </row>
    <row r="104" spans="1:7" s="11" customFormat="1" ht="15.75">
      <c r="A104" s="50" t="s">
        <v>106</v>
      </c>
      <c r="B104" s="43" t="s">
        <v>158</v>
      </c>
      <c r="C104" s="43" t="s">
        <v>159</v>
      </c>
      <c r="D104" s="43" t="s">
        <v>107</v>
      </c>
      <c r="E104" s="41">
        <f>E105</f>
        <v>94.3</v>
      </c>
      <c r="F104" s="41"/>
      <c r="G104" s="29"/>
    </row>
    <row r="105" spans="1:7" s="11" customFormat="1" ht="31.5">
      <c r="A105" s="50" t="s">
        <v>108</v>
      </c>
      <c r="B105" s="43" t="s">
        <v>158</v>
      </c>
      <c r="C105" s="43" t="s">
        <v>159</v>
      </c>
      <c r="D105" s="43" t="s">
        <v>109</v>
      </c>
      <c r="E105" s="41">
        <v>94.3</v>
      </c>
      <c r="F105" s="41"/>
      <c r="G105" s="29"/>
    </row>
    <row r="106" spans="1:7" s="11" customFormat="1" ht="31.5">
      <c r="A106" s="44" t="s">
        <v>161</v>
      </c>
      <c r="B106" s="31" t="s">
        <v>162</v>
      </c>
      <c r="C106" s="31"/>
      <c r="D106" s="31"/>
      <c r="E106" s="13">
        <f>E107</f>
        <v>226.10000000000002</v>
      </c>
      <c r="F106" s="13">
        <v>0</v>
      </c>
      <c r="G106" s="29"/>
    </row>
    <row r="107" spans="1:7" s="35" customFormat="1" ht="52.5" customHeight="1">
      <c r="A107" s="48" t="s">
        <v>135</v>
      </c>
      <c r="B107" s="43" t="s">
        <v>163</v>
      </c>
      <c r="C107" s="40" t="s">
        <v>136</v>
      </c>
      <c r="D107" s="32"/>
      <c r="E107" s="41">
        <f>E111+E108+E114+E117</f>
        <v>226.10000000000002</v>
      </c>
      <c r="F107" s="41"/>
      <c r="G107" s="34"/>
    </row>
    <row r="108" spans="1:7" s="35" customFormat="1" ht="15.75">
      <c r="A108" s="53" t="s">
        <v>164</v>
      </c>
      <c r="B108" s="43" t="s">
        <v>165</v>
      </c>
      <c r="C108" s="40" t="s">
        <v>166</v>
      </c>
      <c r="D108" s="43"/>
      <c r="E108" s="41">
        <f>E109</f>
        <v>7.500000000000011</v>
      </c>
      <c r="F108" s="41"/>
      <c r="G108" s="34"/>
    </row>
    <row r="109" spans="1:7" s="35" customFormat="1" ht="15.75">
      <c r="A109" s="50" t="s">
        <v>106</v>
      </c>
      <c r="B109" s="43" t="s">
        <v>165</v>
      </c>
      <c r="C109" s="40" t="s">
        <v>166</v>
      </c>
      <c r="D109" s="43" t="s">
        <v>107</v>
      </c>
      <c r="E109" s="41">
        <f>E110</f>
        <v>7.500000000000011</v>
      </c>
      <c r="F109" s="41"/>
      <c r="G109" s="34"/>
    </row>
    <row r="110" spans="1:7" s="35" customFormat="1" ht="31.5">
      <c r="A110" s="50" t="s">
        <v>108</v>
      </c>
      <c r="B110" s="43" t="s">
        <v>165</v>
      </c>
      <c r="C110" s="40" t="s">
        <v>166</v>
      </c>
      <c r="D110" s="43" t="s">
        <v>109</v>
      </c>
      <c r="E110" s="41">
        <f>330.8-320-1.8-1.5</f>
        <v>7.500000000000011</v>
      </c>
      <c r="F110" s="41"/>
      <c r="G110" s="34"/>
    </row>
    <row r="111" spans="1:7" s="11" customFormat="1" ht="47.25">
      <c r="A111" s="52" t="s">
        <v>167</v>
      </c>
      <c r="B111" s="43" t="s">
        <v>165</v>
      </c>
      <c r="C111" s="40" t="s">
        <v>168</v>
      </c>
      <c r="D111" s="40"/>
      <c r="E111" s="17">
        <f>E112</f>
        <v>33.099999999999994</v>
      </c>
      <c r="F111" s="17"/>
      <c r="G111" s="29"/>
    </row>
    <row r="112" spans="1:7" s="11" customFormat="1" ht="15.75">
      <c r="A112" s="50" t="s">
        <v>106</v>
      </c>
      <c r="B112" s="43" t="s">
        <v>165</v>
      </c>
      <c r="C112" s="40" t="s">
        <v>168</v>
      </c>
      <c r="D112" s="43" t="s">
        <v>107</v>
      </c>
      <c r="E112" s="41">
        <f>E113</f>
        <v>33.099999999999994</v>
      </c>
      <c r="F112" s="41"/>
      <c r="G112" s="29"/>
    </row>
    <row r="113" spans="1:7" s="11" customFormat="1" ht="31.5">
      <c r="A113" s="50" t="s">
        <v>108</v>
      </c>
      <c r="B113" s="43" t="s">
        <v>165</v>
      </c>
      <c r="C113" s="40" t="s">
        <v>168</v>
      </c>
      <c r="D113" s="43" t="s">
        <v>109</v>
      </c>
      <c r="E113" s="41">
        <f>92.3-66.2-13+70+1.5-76+57-32.5</f>
        <v>33.099999999999994</v>
      </c>
      <c r="F113" s="41"/>
      <c r="G113" s="29"/>
    </row>
    <row r="114" spans="1:7" s="11" customFormat="1" ht="15.75">
      <c r="A114" s="53" t="s">
        <v>169</v>
      </c>
      <c r="B114" s="43" t="s">
        <v>170</v>
      </c>
      <c r="C114" s="40" t="s">
        <v>171</v>
      </c>
      <c r="D114" s="43"/>
      <c r="E114" s="41">
        <f>E115</f>
        <v>132.2</v>
      </c>
      <c r="F114" s="41"/>
      <c r="G114" s="29"/>
    </row>
    <row r="115" spans="1:7" s="11" customFormat="1" ht="15.75">
      <c r="A115" s="50" t="s">
        <v>106</v>
      </c>
      <c r="B115" s="43" t="s">
        <v>170</v>
      </c>
      <c r="C115" s="40" t="s">
        <v>171</v>
      </c>
      <c r="D115" s="43" t="s">
        <v>107</v>
      </c>
      <c r="E115" s="41">
        <f>E116</f>
        <v>132.2</v>
      </c>
      <c r="F115" s="41"/>
      <c r="G115" s="29"/>
    </row>
    <row r="116" spans="1:7" s="11" customFormat="1" ht="31.5">
      <c r="A116" s="50" t="s">
        <v>108</v>
      </c>
      <c r="B116" s="43" t="s">
        <v>170</v>
      </c>
      <c r="C116" s="40" t="s">
        <v>171</v>
      </c>
      <c r="D116" s="43" t="s">
        <v>109</v>
      </c>
      <c r="E116" s="41">
        <f>99.7+32.5</f>
        <v>132.2</v>
      </c>
      <c r="F116" s="41"/>
      <c r="G116" s="29"/>
    </row>
    <row r="117" spans="1:7" s="11" customFormat="1" ht="34.5" customHeight="1">
      <c r="A117" s="53" t="s">
        <v>172</v>
      </c>
      <c r="B117" s="43" t="s">
        <v>170</v>
      </c>
      <c r="C117" s="40" t="s">
        <v>173</v>
      </c>
      <c r="D117" s="43"/>
      <c r="E117" s="41">
        <f>E118</f>
        <v>53.3</v>
      </c>
      <c r="F117" s="41"/>
      <c r="G117" s="29"/>
    </row>
    <row r="118" spans="1:7" s="11" customFormat="1" ht="15.75">
      <c r="A118" s="50" t="s">
        <v>106</v>
      </c>
      <c r="B118" s="43" t="s">
        <v>170</v>
      </c>
      <c r="C118" s="40" t="s">
        <v>173</v>
      </c>
      <c r="D118" s="43" t="s">
        <v>107</v>
      </c>
      <c r="E118" s="41">
        <f>E119</f>
        <v>53.3</v>
      </c>
      <c r="F118" s="41"/>
      <c r="G118" s="29"/>
    </row>
    <row r="119" spans="1:7" s="11" customFormat="1" ht="31.5">
      <c r="A119" s="50" t="s">
        <v>108</v>
      </c>
      <c r="B119" s="43" t="s">
        <v>170</v>
      </c>
      <c r="C119" s="40" t="s">
        <v>173</v>
      </c>
      <c r="D119" s="43" t="s">
        <v>109</v>
      </c>
      <c r="E119" s="41">
        <v>53.3</v>
      </c>
      <c r="F119" s="41"/>
      <c r="G119" s="29"/>
    </row>
    <row r="120" spans="1:7" s="35" customFormat="1" ht="15.75">
      <c r="A120" s="44" t="s">
        <v>174</v>
      </c>
      <c r="B120" s="31" t="s">
        <v>175</v>
      </c>
      <c r="C120" s="32"/>
      <c r="D120" s="32"/>
      <c r="E120" s="51">
        <f>E121+E152+E144</f>
        <v>98555.2806</v>
      </c>
      <c r="F120" s="51">
        <f>F121+F144+F141</f>
        <v>17003.59</v>
      </c>
      <c r="G120" s="34"/>
    </row>
    <row r="121" spans="1:7" s="35" customFormat="1" ht="15.75">
      <c r="A121" s="54" t="s">
        <v>176</v>
      </c>
      <c r="B121" s="43" t="s">
        <v>177</v>
      </c>
      <c r="C121" s="32"/>
      <c r="D121" s="32"/>
      <c r="E121" s="51">
        <f>E122+E134</f>
        <v>98094.2806</v>
      </c>
      <c r="F121" s="51">
        <f>F122</f>
        <v>11068</v>
      </c>
      <c r="G121" s="34"/>
    </row>
    <row r="122" spans="1:7" s="35" customFormat="1" ht="47.25">
      <c r="A122" s="15" t="s">
        <v>178</v>
      </c>
      <c r="B122" s="43" t="s">
        <v>177</v>
      </c>
      <c r="C122" s="40" t="s">
        <v>179</v>
      </c>
      <c r="D122" s="32"/>
      <c r="E122" s="13">
        <f>E123</f>
        <v>86096.31999999999</v>
      </c>
      <c r="F122" s="13">
        <f>F131</f>
        <v>11068</v>
      </c>
      <c r="G122" s="34"/>
    </row>
    <row r="123" spans="1:7" s="35" customFormat="1" ht="31.5">
      <c r="A123" s="52" t="s">
        <v>180</v>
      </c>
      <c r="B123" s="43" t="s">
        <v>177</v>
      </c>
      <c r="C123" s="40" t="s">
        <v>179</v>
      </c>
      <c r="D123" s="43"/>
      <c r="E123" s="41">
        <f>E124+E128+E131+E126</f>
        <v>86096.31999999999</v>
      </c>
      <c r="F123" s="13"/>
      <c r="G123" s="34"/>
    </row>
    <row r="124" spans="1:7" s="35" customFormat="1" ht="15.75">
      <c r="A124" s="50" t="s">
        <v>181</v>
      </c>
      <c r="B124" s="43" t="s">
        <v>177</v>
      </c>
      <c r="C124" s="40" t="s">
        <v>182</v>
      </c>
      <c r="D124" s="43" t="s">
        <v>107</v>
      </c>
      <c r="E124" s="41">
        <f>E125</f>
        <v>45644.429999999986</v>
      </c>
      <c r="F124" s="13"/>
      <c r="G124" s="34"/>
    </row>
    <row r="125" spans="1:7" s="35" customFormat="1" ht="15.75">
      <c r="A125" s="50" t="s">
        <v>106</v>
      </c>
      <c r="B125" s="43" t="s">
        <v>177</v>
      </c>
      <c r="C125" s="40" t="s">
        <v>182</v>
      </c>
      <c r="D125" s="43" t="s">
        <v>109</v>
      </c>
      <c r="E125" s="41">
        <f>8645.3+6490.4-700-1324.4-6100.6+200+120+2035.3+50000+15976.9-8610.8-9478.4-500-7398-1373.9-1638-70-500-50-25-54.37</f>
        <v>45644.429999999986</v>
      </c>
      <c r="F125" s="13"/>
      <c r="G125" s="34">
        <f>-25-54.37</f>
        <v>-79.37</v>
      </c>
    </row>
    <row r="126" spans="1:7" s="35" customFormat="1" ht="15.75">
      <c r="A126" s="50" t="s">
        <v>110</v>
      </c>
      <c r="B126" s="43" t="s">
        <v>177</v>
      </c>
      <c r="C126" s="40" t="s">
        <v>182</v>
      </c>
      <c r="D126" s="43" t="s">
        <v>111</v>
      </c>
      <c r="E126" s="41">
        <f>E127</f>
        <v>200</v>
      </c>
      <c r="F126" s="13"/>
      <c r="G126" s="34"/>
    </row>
    <row r="127" spans="1:7" s="35" customFormat="1" ht="15.75">
      <c r="A127" s="50" t="s">
        <v>112</v>
      </c>
      <c r="B127" s="43" t="s">
        <v>177</v>
      </c>
      <c r="C127" s="40" t="s">
        <v>182</v>
      </c>
      <c r="D127" s="43" t="s">
        <v>113</v>
      </c>
      <c r="E127" s="41">
        <v>200</v>
      </c>
      <c r="F127" s="13"/>
      <c r="G127" s="34"/>
    </row>
    <row r="128" spans="1:7" s="11" customFormat="1" ht="15.75">
      <c r="A128" s="50" t="s">
        <v>183</v>
      </c>
      <c r="B128" s="43" t="s">
        <v>177</v>
      </c>
      <c r="C128" s="40" t="s">
        <v>184</v>
      </c>
      <c r="D128" s="43"/>
      <c r="E128" s="41">
        <f>E129</f>
        <v>28534.76</v>
      </c>
      <c r="F128" s="41"/>
      <c r="G128" s="29"/>
    </row>
    <row r="129" spans="1:7" s="11" customFormat="1" ht="15.75">
      <c r="A129" s="50" t="s">
        <v>106</v>
      </c>
      <c r="B129" s="43" t="s">
        <v>177</v>
      </c>
      <c r="C129" s="40" t="s">
        <v>184</v>
      </c>
      <c r="D129" s="43" t="s">
        <v>107</v>
      </c>
      <c r="E129" s="41">
        <f>E130</f>
        <v>28534.76</v>
      </c>
      <c r="F129" s="41"/>
      <c r="G129" s="29"/>
    </row>
    <row r="130" spans="1:7" s="11" customFormat="1" ht="31.5">
      <c r="A130" s="50" t="s">
        <v>108</v>
      </c>
      <c r="B130" s="43" t="s">
        <v>177</v>
      </c>
      <c r="C130" s="40" t="s">
        <v>184</v>
      </c>
      <c r="D130" s="43" t="s">
        <v>109</v>
      </c>
      <c r="E130" s="41">
        <f>28019.1-2730+2877.73+546.73-78.8-100</f>
        <v>28534.76</v>
      </c>
      <c r="F130" s="41"/>
      <c r="G130" s="29"/>
    </row>
    <row r="131" spans="1:9" s="11" customFormat="1" ht="64.5" customHeight="1">
      <c r="A131" s="50" t="s">
        <v>185</v>
      </c>
      <c r="B131" s="43" t="s">
        <v>177</v>
      </c>
      <c r="C131" s="40" t="s">
        <v>186</v>
      </c>
      <c r="D131" s="43"/>
      <c r="E131" s="41">
        <f>E132</f>
        <v>11717.13</v>
      </c>
      <c r="F131" s="41">
        <v>11068</v>
      </c>
      <c r="G131" s="29"/>
      <c r="H131" s="47"/>
      <c r="I131" s="232"/>
    </row>
    <row r="132" spans="1:7" s="11" customFormat="1" ht="15.75">
      <c r="A132" s="50" t="s">
        <v>106</v>
      </c>
      <c r="B132" s="43" t="s">
        <v>177</v>
      </c>
      <c r="C132" s="40" t="s">
        <v>186</v>
      </c>
      <c r="D132" s="43" t="s">
        <v>107</v>
      </c>
      <c r="E132" s="41">
        <f>E133</f>
        <v>11717.13</v>
      </c>
      <c r="F132" s="41"/>
      <c r="G132" s="29"/>
    </row>
    <row r="133" spans="1:7" s="11" customFormat="1" ht="31.5">
      <c r="A133" s="50" t="s">
        <v>108</v>
      </c>
      <c r="B133" s="43" t="s">
        <v>177</v>
      </c>
      <c r="C133" s="40" t="s">
        <v>186</v>
      </c>
      <c r="D133" s="43" t="s">
        <v>109</v>
      </c>
      <c r="E133" s="41">
        <f>11410+649.13-342</f>
        <v>11717.13</v>
      </c>
      <c r="F133" s="41"/>
      <c r="G133" s="29">
        <v>-0.1</v>
      </c>
    </row>
    <row r="134" spans="1:7" s="11" customFormat="1" ht="63">
      <c r="A134" s="50" t="s">
        <v>187</v>
      </c>
      <c r="B134" s="43" t="s">
        <v>177</v>
      </c>
      <c r="C134" s="43" t="s">
        <v>188</v>
      </c>
      <c r="D134" s="43"/>
      <c r="E134" s="41">
        <f>E135</f>
        <v>11997.9606</v>
      </c>
      <c r="F134" s="41"/>
      <c r="G134" s="29"/>
    </row>
    <row r="135" spans="1:7" s="11" customFormat="1" ht="15.75">
      <c r="A135" s="50" t="s">
        <v>189</v>
      </c>
      <c r="B135" s="43" t="s">
        <v>177</v>
      </c>
      <c r="C135" s="43" t="s">
        <v>190</v>
      </c>
      <c r="D135" s="43"/>
      <c r="E135" s="41">
        <f>E136</f>
        <v>11997.9606</v>
      </c>
      <c r="F135" s="41"/>
      <c r="G135" s="29"/>
    </row>
    <row r="136" spans="1:7" s="11" customFormat="1" ht="31.5">
      <c r="A136" s="55" t="s">
        <v>191</v>
      </c>
      <c r="B136" s="43" t="s">
        <v>177</v>
      </c>
      <c r="C136" s="43" t="s">
        <v>192</v>
      </c>
      <c r="D136" s="43"/>
      <c r="E136" s="41">
        <f>E137+E140</f>
        <v>11997.9606</v>
      </c>
      <c r="F136" s="41"/>
      <c r="G136" s="29"/>
    </row>
    <row r="137" spans="1:7" s="11" customFormat="1" ht="15.75">
      <c r="A137" s="50" t="s">
        <v>193</v>
      </c>
      <c r="B137" s="43" t="s">
        <v>177</v>
      </c>
      <c r="C137" s="43" t="s">
        <v>194</v>
      </c>
      <c r="D137" s="43"/>
      <c r="E137" s="41">
        <f>E138</f>
        <v>4968.2706</v>
      </c>
      <c r="F137" s="41"/>
      <c r="G137" s="29"/>
    </row>
    <row r="138" spans="1:7" s="11" customFormat="1" ht="15.75">
      <c r="A138" s="50" t="s">
        <v>106</v>
      </c>
      <c r="B138" s="43" t="s">
        <v>177</v>
      </c>
      <c r="C138" s="43" t="s">
        <v>194</v>
      </c>
      <c r="D138" s="43" t="s">
        <v>107</v>
      </c>
      <c r="E138" s="41">
        <f>E139</f>
        <v>4968.2706</v>
      </c>
      <c r="F138" s="41"/>
      <c r="G138" s="29"/>
    </row>
    <row r="139" spans="1:7" s="11" customFormat="1" ht="31.5">
      <c r="A139" s="50" t="s">
        <v>108</v>
      </c>
      <c r="B139" s="43" t="s">
        <v>177</v>
      </c>
      <c r="C139" s="43" t="s">
        <v>194</v>
      </c>
      <c r="D139" s="43" t="s">
        <v>109</v>
      </c>
      <c r="E139" s="41">
        <f>800+4500-331.7294</f>
        <v>4968.2706</v>
      </c>
      <c r="F139" s="41"/>
      <c r="G139" s="29"/>
    </row>
    <row r="140" spans="1:7" s="11" customFormat="1" ht="31.5">
      <c r="A140" s="50" t="s">
        <v>195</v>
      </c>
      <c r="B140" s="43" t="s">
        <v>196</v>
      </c>
      <c r="C140" s="43" t="s">
        <v>197</v>
      </c>
      <c r="D140" s="43"/>
      <c r="E140" s="41">
        <f>E141</f>
        <v>7029.6900000000005</v>
      </c>
      <c r="F140" s="41"/>
      <c r="G140" s="29"/>
    </row>
    <row r="141" spans="1:9" s="11" customFormat="1" ht="22.5" customHeight="1">
      <c r="A141" s="50" t="s">
        <v>198</v>
      </c>
      <c r="B141" s="43" t="s">
        <v>177</v>
      </c>
      <c r="C141" s="43" t="s">
        <v>199</v>
      </c>
      <c r="D141" s="43"/>
      <c r="E141" s="41">
        <f>E142</f>
        <v>7029.6900000000005</v>
      </c>
      <c r="F141" s="41">
        <v>5721.59</v>
      </c>
      <c r="G141" s="29"/>
      <c r="I141" s="232"/>
    </row>
    <row r="142" spans="1:9" s="11" customFormat="1" ht="15.75">
      <c r="A142" s="50" t="s">
        <v>106</v>
      </c>
      <c r="B142" s="43" t="s">
        <v>177</v>
      </c>
      <c r="C142" s="43" t="s">
        <v>199</v>
      </c>
      <c r="D142" s="43" t="s">
        <v>107</v>
      </c>
      <c r="E142" s="41">
        <f>E143</f>
        <v>7029.6900000000005</v>
      </c>
      <c r="F142" s="41"/>
      <c r="G142" s="29"/>
      <c r="I142" s="232"/>
    </row>
    <row r="143" spans="1:9" s="11" customFormat="1" ht="31.5">
      <c r="A143" s="50" t="s">
        <v>108</v>
      </c>
      <c r="B143" s="43" t="s">
        <v>177</v>
      </c>
      <c r="C143" s="43" t="s">
        <v>199</v>
      </c>
      <c r="D143" s="43" t="s">
        <v>109</v>
      </c>
      <c r="E143" s="41">
        <f>2759.13+2962.46+1308.1</f>
        <v>7029.6900000000005</v>
      </c>
      <c r="F143" s="41"/>
      <c r="G143" s="29"/>
      <c r="I143" s="232"/>
    </row>
    <row r="144" spans="1:7" s="11" customFormat="1" ht="15.75">
      <c r="A144" s="44" t="s">
        <v>200</v>
      </c>
      <c r="B144" s="32" t="s">
        <v>201</v>
      </c>
      <c r="C144" s="32"/>
      <c r="D144" s="43"/>
      <c r="E144" s="41">
        <f>E146</f>
        <v>261</v>
      </c>
      <c r="F144" s="41">
        <f>F149</f>
        <v>214</v>
      </c>
      <c r="G144" s="29"/>
    </row>
    <row r="145" spans="1:7" s="11" customFormat="1" ht="63">
      <c r="A145" s="50" t="s">
        <v>187</v>
      </c>
      <c r="B145" s="43" t="s">
        <v>201</v>
      </c>
      <c r="C145" s="43" t="s">
        <v>188</v>
      </c>
      <c r="D145" s="43"/>
      <c r="E145" s="41">
        <f aca="true" t="shared" si="0" ref="E145:E150">E146</f>
        <v>261</v>
      </c>
      <c r="F145" s="41"/>
      <c r="G145" s="29"/>
    </row>
    <row r="146" spans="1:7" s="11" customFormat="1" ht="31.5">
      <c r="A146" s="50" t="s">
        <v>202</v>
      </c>
      <c r="B146" s="43" t="s">
        <v>201</v>
      </c>
      <c r="C146" s="43" t="s">
        <v>203</v>
      </c>
      <c r="D146" s="43"/>
      <c r="E146" s="41">
        <f t="shared" si="0"/>
        <v>261</v>
      </c>
      <c r="F146" s="41"/>
      <c r="G146" s="29"/>
    </row>
    <row r="147" spans="1:7" s="11" customFormat="1" ht="31.5">
      <c r="A147" s="55" t="s">
        <v>204</v>
      </c>
      <c r="B147" s="43" t="s">
        <v>201</v>
      </c>
      <c r="C147" s="43" t="s">
        <v>205</v>
      </c>
      <c r="D147" s="43"/>
      <c r="E147" s="41">
        <f t="shared" si="0"/>
        <v>261</v>
      </c>
      <c r="F147" s="41"/>
      <c r="G147" s="29"/>
    </row>
    <row r="148" spans="1:7" s="11" customFormat="1" ht="15.75">
      <c r="A148" s="50" t="s">
        <v>206</v>
      </c>
      <c r="B148" s="43" t="s">
        <v>201</v>
      </c>
      <c r="C148" s="43" t="s">
        <v>207</v>
      </c>
      <c r="D148" s="43"/>
      <c r="E148" s="41">
        <f t="shared" si="0"/>
        <v>261</v>
      </c>
      <c r="F148" s="41"/>
      <c r="G148" s="29"/>
    </row>
    <row r="149" spans="1:7" s="11" customFormat="1" ht="36" customHeight="1">
      <c r="A149" s="50" t="s">
        <v>208</v>
      </c>
      <c r="B149" s="43" t="s">
        <v>201</v>
      </c>
      <c r="C149" s="43" t="s">
        <v>209</v>
      </c>
      <c r="D149" s="43"/>
      <c r="E149" s="41">
        <f t="shared" si="0"/>
        <v>261</v>
      </c>
      <c r="F149" s="41">
        <v>214</v>
      </c>
      <c r="G149" s="29"/>
    </row>
    <row r="150" spans="1:7" s="11" customFormat="1" ht="15.75">
      <c r="A150" s="15" t="s">
        <v>106</v>
      </c>
      <c r="B150" s="43" t="s">
        <v>201</v>
      </c>
      <c r="C150" s="43" t="s">
        <v>209</v>
      </c>
      <c r="D150" s="43" t="s">
        <v>107</v>
      </c>
      <c r="E150" s="41">
        <f t="shared" si="0"/>
        <v>261</v>
      </c>
      <c r="F150" s="41"/>
      <c r="G150" s="29"/>
    </row>
    <row r="151" spans="1:7" s="11" customFormat="1" ht="31.5">
      <c r="A151" s="15" t="s">
        <v>108</v>
      </c>
      <c r="B151" s="43" t="s">
        <v>201</v>
      </c>
      <c r="C151" s="43" t="s">
        <v>209</v>
      </c>
      <c r="D151" s="43" t="s">
        <v>109</v>
      </c>
      <c r="E151" s="41">
        <f>214+47</f>
        <v>261</v>
      </c>
      <c r="F151" s="41"/>
      <c r="G151" s="29"/>
    </row>
    <row r="152" spans="1:7" s="11" customFormat="1" ht="15.75">
      <c r="A152" s="44" t="s">
        <v>210</v>
      </c>
      <c r="B152" s="43" t="s">
        <v>211</v>
      </c>
      <c r="C152" s="40"/>
      <c r="D152" s="43"/>
      <c r="E152" s="13">
        <f>E153</f>
        <v>200</v>
      </c>
      <c r="F152" s="41"/>
      <c r="G152" s="29"/>
    </row>
    <row r="153" spans="1:7" s="11" customFormat="1" ht="47.25">
      <c r="A153" s="15" t="s">
        <v>141</v>
      </c>
      <c r="B153" s="43" t="s">
        <v>211</v>
      </c>
      <c r="C153" s="43" t="s">
        <v>212</v>
      </c>
      <c r="D153" s="43"/>
      <c r="E153" s="41">
        <f>E154</f>
        <v>200</v>
      </c>
      <c r="F153" s="41"/>
      <c r="G153" s="29"/>
    </row>
    <row r="154" spans="1:7" s="11" customFormat="1" ht="15.75">
      <c r="A154" s="39" t="s">
        <v>213</v>
      </c>
      <c r="B154" s="43" t="s">
        <v>211</v>
      </c>
      <c r="C154" s="43" t="s">
        <v>214</v>
      </c>
      <c r="D154" s="43"/>
      <c r="E154" s="41">
        <f>E155</f>
        <v>200</v>
      </c>
      <c r="F154" s="41"/>
      <c r="G154" s="29"/>
    </row>
    <row r="155" spans="1:7" s="11" customFormat="1" ht="15.75">
      <c r="A155" s="15" t="s">
        <v>106</v>
      </c>
      <c r="B155" s="43" t="s">
        <v>211</v>
      </c>
      <c r="C155" s="43" t="s">
        <v>214</v>
      </c>
      <c r="D155" s="43" t="s">
        <v>107</v>
      </c>
      <c r="E155" s="41">
        <f>E156</f>
        <v>200</v>
      </c>
      <c r="F155" s="41"/>
      <c r="G155" s="29"/>
    </row>
    <row r="156" spans="1:7" s="11" customFormat="1" ht="31.5">
      <c r="A156" s="15" t="s">
        <v>108</v>
      </c>
      <c r="B156" s="43" t="s">
        <v>211</v>
      </c>
      <c r="C156" s="43" t="s">
        <v>214</v>
      </c>
      <c r="D156" s="43" t="s">
        <v>109</v>
      </c>
      <c r="E156" s="41">
        <v>200</v>
      </c>
      <c r="F156" s="41"/>
      <c r="G156" s="29"/>
    </row>
    <row r="157" spans="1:7" s="35" customFormat="1" ht="15.75">
      <c r="A157" s="44" t="s">
        <v>215</v>
      </c>
      <c r="B157" s="31" t="s">
        <v>216</v>
      </c>
      <c r="C157" s="32"/>
      <c r="D157" s="32"/>
      <c r="E157" s="51">
        <f>E158+E191+E205</f>
        <v>206042.16619999998</v>
      </c>
      <c r="F157" s="51">
        <f>F158+F191+F205</f>
        <v>77093.85706</v>
      </c>
      <c r="G157" s="34"/>
    </row>
    <row r="158" spans="1:7" s="35" customFormat="1" ht="15.75">
      <c r="A158" s="54" t="s">
        <v>217</v>
      </c>
      <c r="B158" s="31" t="s">
        <v>218</v>
      </c>
      <c r="C158" s="32"/>
      <c r="D158" s="32"/>
      <c r="E158" s="51">
        <f>E159+E171+E187</f>
        <v>77326.68455</v>
      </c>
      <c r="F158" s="51">
        <f>F159+F173</f>
        <v>60473.49706</v>
      </c>
      <c r="G158" s="34"/>
    </row>
    <row r="159" spans="1:7" s="35" customFormat="1" ht="47.25">
      <c r="A159" s="15" t="s">
        <v>219</v>
      </c>
      <c r="B159" s="43" t="s">
        <v>218</v>
      </c>
      <c r="C159" s="43" t="s">
        <v>220</v>
      </c>
      <c r="D159" s="32"/>
      <c r="E159" s="49">
        <f>E163+E166</f>
        <v>62177.73706</v>
      </c>
      <c r="F159" s="49">
        <f>E163</f>
        <v>60177.73706</v>
      </c>
      <c r="G159" s="34"/>
    </row>
    <row r="160" spans="1:7" s="35" customFormat="1" ht="47.25" hidden="1">
      <c r="A160" s="50" t="s">
        <v>221</v>
      </c>
      <c r="B160" s="43" t="s">
        <v>218</v>
      </c>
      <c r="C160" s="43" t="s">
        <v>222</v>
      </c>
      <c r="D160" s="43"/>
      <c r="E160" s="49">
        <f>E161</f>
        <v>0</v>
      </c>
      <c r="F160" s="49">
        <f>E162</f>
        <v>0</v>
      </c>
      <c r="G160" s="34"/>
    </row>
    <row r="161" spans="1:7" s="35" customFormat="1" ht="15.75" hidden="1">
      <c r="A161" s="15" t="s">
        <v>106</v>
      </c>
      <c r="B161" s="43" t="s">
        <v>218</v>
      </c>
      <c r="C161" s="43" t="s">
        <v>222</v>
      </c>
      <c r="D161" s="43" t="s">
        <v>109</v>
      </c>
      <c r="E161" s="49">
        <f>E162</f>
        <v>0</v>
      </c>
      <c r="F161" s="49"/>
      <c r="G161" s="34"/>
    </row>
    <row r="162" spans="1:7" s="35" customFormat="1" ht="31.5" hidden="1">
      <c r="A162" s="15" t="s">
        <v>108</v>
      </c>
      <c r="B162" s="43" t="s">
        <v>218</v>
      </c>
      <c r="C162" s="43" t="s">
        <v>222</v>
      </c>
      <c r="D162" s="43" t="s">
        <v>109</v>
      </c>
      <c r="E162" s="49">
        <v>0</v>
      </c>
      <c r="F162" s="49"/>
      <c r="G162" s="34"/>
    </row>
    <row r="163" spans="1:7" s="35" customFormat="1" ht="82.5" customHeight="1">
      <c r="A163" s="50" t="s">
        <v>223</v>
      </c>
      <c r="B163" s="43" t="s">
        <v>218</v>
      </c>
      <c r="C163" s="43" t="s">
        <v>222</v>
      </c>
      <c r="D163" s="43"/>
      <c r="E163" s="49">
        <f>E164</f>
        <v>60177.73706</v>
      </c>
      <c r="F163" s="49"/>
      <c r="G163" s="34"/>
    </row>
    <row r="164" spans="1:7" s="35" customFormat="1" ht="15.75">
      <c r="A164" s="15" t="s">
        <v>106</v>
      </c>
      <c r="B164" s="43" t="s">
        <v>218</v>
      </c>
      <c r="C164" s="43" t="s">
        <v>222</v>
      </c>
      <c r="D164" s="43" t="s">
        <v>109</v>
      </c>
      <c r="E164" s="49">
        <f>E165</f>
        <v>60177.73706</v>
      </c>
      <c r="F164" s="49"/>
      <c r="G164" s="34"/>
    </row>
    <row r="165" spans="1:7" s="35" customFormat="1" ht="31.5">
      <c r="A165" s="15" t="s">
        <v>108</v>
      </c>
      <c r="B165" s="43" t="s">
        <v>218</v>
      </c>
      <c r="C165" s="43" t="s">
        <v>222</v>
      </c>
      <c r="D165" s="43" t="s">
        <v>109</v>
      </c>
      <c r="E165" s="49">
        <f>42956.33202+27997.62151-10776.21647</f>
        <v>60177.73706</v>
      </c>
      <c r="F165" s="49"/>
      <c r="G165" s="34"/>
    </row>
    <row r="166" spans="1:7" s="35" customFormat="1" ht="78.75">
      <c r="A166" s="50" t="s">
        <v>224</v>
      </c>
      <c r="B166" s="43" t="s">
        <v>218</v>
      </c>
      <c r="C166" s="43" t="s">
        <v>225</v>
      </c>
      <c r="D166" s="43"/>
      <c r="E166" s="49">
        <f>E167</f>
        <v>2000</v>
      </c>
      <c r="F166" s="49"/>
      <c r="G166" s="34"/>
    </row>
    <row r="167" spans="1:7" s="35" customFormat="1" ht="15.75">
      <c r="A167" s="15" t="s">
        <v>106</v>
      </c>
      <c r="B167" s="43" t="s">
        <v>218</v>
      </c>
      <c r="C167" s="43" t="s">
        <v>225</v>
      </c>
      <c r="D167" s="43" t="s">
        <v>109</v>
      </c>
      <c r="E167" s="49">
        <f>E168</f>
        <v>2000</v>
      </c>
      <c r="F167" s="49"/>
      <c r="G167" s="34"/>
    </row>
    <row r="168" spans="1:7" s="35" customFormat="1" ht="31.5">
      <c r="A168" s="15" t="s">
        <v>108</v>
      </c>
      <c r="B168" s="43" t="s">
        <v>218</v>
      </c>
      <c r="C168" s="43" t="s">
        <v>225</v>
      </c>
      <c r="D168" s="43" t="s">
        <v>109</v>
      </c>
      <c r="E168" s="49">
        <f>7000-5000</f>
        <v>2000</v>
      </c>
      <c r="F168" s="49"/>
      <c r="G168" s="34"/>
    </row>
    <row r="169" spans="1:7" s="35" customFormat="1" ht="31.5" hidden="1">
      <c r="A169" s="50" t="s">
        <v>226</v>
      </c>
      <c r="B169" s="43" t="s">
        <v>218</v>
      </c>
      <c r="C169" s="43" t="s">
        <v>227</v>
      </c>
      <c r="D169" s="43" t="s">
        <v>228</v>
      </c>
      <c r="E169" s="49">
        <f>E170</f>
        <v>0</v>
      </c>
      <c r="F169" s="49"/>
      <c r="G169" s="34"/>
    </row>
    <row r="170" spans="1:7" s="35" customFormat="1" ht="15.75" hidden="1">
      <c r="A170" s="50" t="s">
        <v>229</v>
      </c>
      <c r="B170" s="43" t="s">
        <v>218</v>
      </c>
      <c r="C170" s="43" t="s">
        <v>227</v>
      </c>
      <c r="D170" s="43" t="s">
        <v>230</v>
      </c>
      <c r="E170" s="49">
        <v>0</v>
      </c>
      <c r="F170" s="49"/>
      <c r="G170" s="34"/>
    </row>
    <row r="171" spans="1:7" s="35" customFormat="1" ht="63">
      <c r="A171" s="50" t="s">
        <v>187</v>
      </c>
      <c r="B171" s="43" t="s">
        <v>218</v>
      </c>
      <c r="C171" s="43" t="s">
        <v>188</v>
      </c>
      <c r="D171" s="43"/>
      <c r="E171" s="41">
        <f>E172</f>
        <v>15018.94749</v>
      </c>
      <c r="F171" s="41"/>
      <c r="G171" s="34"/>
    </row>
    <row r="172" spans="1:7" s="35" customFormat="1" ht="31.5">
      <c r="A172" s="50" t="s">
        <v>231</v>
      </c>
      <c r="B172" s="43" t="s">
        <v>218</v>
      </c>
      <c r="C172" s="43" t="s">
        <v>232</v>
      </c>
      <c r="D172" s="43"/>
      <c r="E172" s="41">
        <f>E173+E177+E184</f>
        <v>15018.94749</v>
      </c>
      <c r="F172" s="41"/>
      <c r="G172" s="34"/>
    </row>
    <row r="173" spans="1:7" s="35" customFormat="1" ht="31.5">
      <c r="A173" s="55" t="s">
        <v>233</v>
      </c>
      <c r="B173" s="43" t="s">
        <v>218</v>
      </c>
      <c r="C173" s="43" t="s">
        <v>234</v>
      </c>
      <c r="D173" s="43"/>
      <c r="E173" s="41">
        <f>E174</f>
        <v>360.24</v>
      </c>
      <c r="F173" s="41">
        <f>F174</f>
        <v>295.76</v>
      </c>
      <c r="G173" s="34"/>
    </row>
    <row r="174" spans="1:7" s="35" customFormat="1" ht="47.25">
      <c r="A174" s="56" t="s">
        <v>235</v>
      </c>
      <c r="B174" s="43" t="s">
        <v>218</v>
      </c>
      <c r="C174" s="43" t="s">
        <v>236</v>
      </c>
      <c r="D174" s="43"/>
      <c r="E174" s="41">
        <f>E175</f>
        <v>360.24</v>
      </c>
      <c r="F174" s="41">
        <v>295.76</v>
      </c>
      <c r="G174" s="34"/>
    </row>
    <row r="175" spans="1:7" s="35" customFormat="1" ht="15.75">
      <c r="A175" s="50" t="s">
        <v>106</v>
      </c>
      <c r="B175" s="43" t="s">
        <v>218</v>
      </c>
      <c r="C175" s="43" t="s">
        <v>236</v>
      </c>
      <c r="D175" s="43" t="s">
        <v>111</v>
      </c>
      <c r="E175" s="41">
        <f>E176</f>
        <v>360.24</v>
      </c>
      <c r="F175" s="41"/>
      <c r="G175" s="34"/>
    </row>
    <row r="176" spans="1:7" s="35" customFormat="1" ht="31.5">
      <c r="A176" s="50" t="s">
        <v>108</v>
      </c>
      <c r="B176" s="43" t="s">
        <v>218</v>
      </c>
      <c r="C176" s="43" t="s">
        <v>236</v>
      </c>
      <c r="D176" s="43" t="s">
        <v>237</v>
      </c>
      <c r="E176" s="41">
        <f>295.76+64.48</f>
        <v>360.24</v>
      </c>
      <c r="F176" s="41"/>
      <c r="G176" s="34"/>
    </row>
    <row r="177" spans="1:7" s="35" customFormat="1" ht="47.25">
      <c r="A177" s="55" t="s">
        <v>238</v>
      </c>
      <c r="B177" s="43" t="s">
        <v>218</v>
      </c>
      <c r="C177" s="43" t="s">
        <v>239</v>
      </c>
      <c r="D177" s="43"/>
      <c r="E177" s="41">
        <f>E178+E181</f>
        <v>12108.70749</v>
      </c>
      <c r="F177" s="41"/>
      <c r="G177" s="34"/>
    </row>
    <row r="178" spans="1:7" s="35" customFormat="1" ht="31.5">
      <c r="A178" s="15" t="s">
        <v>240</v>
      </c>
      <c r="B178" s="43" t="s">
        <v>218</v>
      </c>
      <c r="C178" s="43" t="s">
        <v>241</v>
      </c>
      <c r="D178" s="43"/>
      <c r="E178" s="41">
        <f>E179</f>
        <v>4500</v>
      </c>
      <c r="F178" s="41"/>
      <c r="G178" s="34"/>
    </row>
    <row r="179" spans="1:7" s="35" customFormat="1" ht="15.75">
      <c r="A179" s="15" t="s">
        <v>106</v>
      </c>
      <c r="B179" s="43" t="s">
        <v>218</v>
      </c>
      <c r="C179" s="43" t="s">
        <v>241</v>
      </c>
      <c r="D179" s="43" t="s">
        <v>107</v>
      </c>
      <c r="E179" s="41">
        <f>E180</f>
        <v>4500</v>
      </c>
      <c r="F179" s="41"/>
      <c r="G179" s="34"/>
    </row>
    <row r="180" spans="1:7" s="35" customFormat="1" ht="31.5">
      <c r="A180" s="15" t="s">
        <v>108</v>
      </c>
      <c r="B180" s="43" t="s">
        <v>218</v>
      </c>
      <c r="C180" s="43" t="s">
        <v>241</v>
      </c>
      <c r="D180" s="43" t="s">
        <v>109</v>
      </c>
      <c r="E180" s="41">
        <v>4500</v>
      </c>
      <c r="F180" s="41"/>
      <c r="G180" s="34"/>
    </row>
    <row r="181" spans="1:7" s="35" customFormat="1" ht="15.75">
      <c r="A181" s="15" t="s">
        <v>242</v>
      </c>
      <c r="B181" s="43" t="s">
        <v>218</v>
      </c>
      <c r="C181" s="43" t="s">
        <v>241</v>
      </c>
      <c r="D181" s="43"/>
      <c r="E181" s="41">
        <f>E182</f>
        <v>7608.707490000001</v>
      </c>
      <c r="F181" s="41"/>
      <c r="G181" s="34"/>
    </row>
    <row r="182" spans="1:7" s="35" customFormat="1" ht="15.75">
      <c r="A182" s="15" t="s">
        <v>106</v>
      </c>
      <c r="B182" s="43" t="s">
        <v>218</v>
      </c>
      <c r="C182" s="43" t="s">
        <v>241</v>
      </c>
      <c r="D182" s="43" t="s">
        <v>107</v>
      </c>
      <c r="E182" s="41">
        <f>E183</f>
        <v>7608.707490000001</v>
      </c>
      <c r="F182" s="41"/>
      <c r="G182" s="34"/>
    </row>
    <row r="183" spans="1:7" s="35" customFormat="1" ht="31.5">
      <c r="A183" s="15" t="s">
        <v>108</v>
      </c>
      <c r="B183" s="43" t="s">
        <v>218</v>
      </c>
      <c r="C183" s="43" t="s">
        <v>241</v>
      </c>
      <c r="D183" s="43" t="s">
        <v>109</v>
      </c>
      <c r="E183" s="41">
        <f>700+2000+42.08385+776.9306+135+3954.69304</f>
        <v>7608.707490000001</v>
      </c>
      <c r="F183" s="41"/>
      <c r="G183" s="34"/>
    </row>
    <row r="184" spans="1:7" s="35" customFormat="1" ht="47.25">
      <c r="A184" s="57" t="s">
        <v>243</v>
      </c>
      <c r="B184" s="43" t="s">
        <v>218</v>
      </c>
      <c r="C184" s="43" t="s">
        <v>244</v>
      </c>
      <c r="D184" s="43"/>
      <c r="E184" s="41">
        <f>E185</f>
        <v>2550</v>
      </c>
      <c r="F184" s="41"/>
      <c r="G184" s="34"/>
    </row>
    <row r="185" spans="1:7" s="35" customFormat="1" ht="15.75">
      <c r="A185" s="50" t="s">
        <v>106</v>
      </c>
      <c r="B185" s="43" t="s">
        <v>218</v>
      </c>
      <c r="C185" s="43" t="s">
        <v>244</v>
      </c>
      <c r="D185" s="43" t="s">
        <v>107</v>
      </c>
      <c r="E185" s="41">
        <f>E186</f>
        <v>2550</v>
      </c>
      <c r="F185" s="41"/>
      <c r="G185" s="34"/>
    </row>
    <row r="186" spans="1:7" s="35" customFormat="1" ht="31.5">
      <c r="A186" s="15" t="s">
        <v>108</v>
      </c>
      <c r="B186" s="43" t="s">
        <v>218</v>
      </c>
      <c r="C186" s="43" t="s">
        <v>244</v>
      </c>
      <c r="D186" s="43" t="s">
        <v>109</v>
      </c>
      <c r="E186" s="41">
        <f>1800+750</f>
        <v>2550</v>
      </c>
      <c r="F186" s="41"/>
      <c r="G186" s="34"/>
    </row>
    <row r="187" spans="1:7" s="35" customFormat="1" ht="31.5">
      <c r="A187" s="15" t="s">
        <v>145</v>
      </c>
      <c r="B187" s="43" t="s">
        <v>218</v>
      </c>
      <c r="C187" s="43" t="s">
        <v>146</v>
      </c>
      <c r="D187" s="43"/>
      <c r="E187" s="41">
        <f>E188</f>
        <v>130</v>
      </c>
      <c r="F187" s="41"/>
      <c r="G187" s="34"/>
    </row>
    <row r="188" spans="1:7" s="35" customFormat="1" ht="31.5">
      <c r="A188" s="15" t="s">
        <v>245</v>
      </c>
      <c r="B188" s="43" t="s">
        <v>218</v>
      </c>
      <c r="C188" s="43" t="s">
        <v>246</v>
      </c>
      <c r="D188" s="43"/>
      <c r="E188" s="41">
        <f>E189</f>
        <v>130</v>
      </c>
      <c r="F188" s="41"/>
      <c r="G188" s="34"/>
    </row>
    <row r="189" spans="1:7" s="35" customFormat="1" ht="15.75">
      <c r="A189" s="50" t="s">
        <v>106</v>
      </c>
      <c r="B189" s="43" t="s">
        <v>218</v>
      </c>
      <c r="C189" s="43" t="s">
        <v>246</v>
      </c>
      <c r="D189" s="43" t="s">
        <v>107</v>
      </c>
      <c r="E189" s="41">
        <f>E190</f>
        <v>130</v>
      </c>
      <c r="F189" s="41"/>
      <c r="G189" s="34"/>
    </row>
    <row r="190" spans="1:7" s="35" customFormat="1" ht="31.5">
      <c r="A190" s="50" t="s">
        <v>108</v>
      </c>
      <c r="B190" s="43" t="s">
        <v>218</v>
      </c>
      <c r="C190" s="43" t="s">
        <v>246</v>
      </c>
      <c r="D190" s="43" t="s">
        <v>109</v>
      </c>
      <c r="E190" s="41">
        <f>150-20</f>
        <v>130</v>
      </c>
      <c r="F190" s="41"/>
      <c r="G190" s="34"/>
    </row>
    <row r="191" spans="1:9" s="35" customFormat="1" ht="15.75">
      <c r="A191" s="54" t="s">
        <v>247</v>
      </c>
      <c r="B191" s="31" t="s">
        <v>248</v>
      </c>
      <c r="C191" s="43"/>
      <c r="D191" s="43"/>
      <c r="E191" s="13">
        <f>E192</f>
        <v>48159.4</v>
      </c>
      <c r="F191" s="13">
        <f>F192</f>
        <v>10100</v>
      </c>
      <c r="G191" s="34"/>
      <c r="H191" s="66"/>
      <c r="I191" s="66"/>
    </row>
    <row r="192" spans="1:7" s="35" customFormat="1" ht="47.25">
      <c r="A192" s="15" t="s">
        <v>249</v>
      </c>
      <c r="B192" s="43" t="s">
        <v>248</v>
      </c>
      <c r="C192" s="40" t="s">
        <v>250</v>
      </c>
      <c r="D192" s="58"/>
      <c r="E192" s="41">
        <f>E193+E195+E198</f>
        <v>48159.4</v>
      </c>
      <c r="F192" s="41">
        <f>F198</f>
        <v>10100</v>
      </c>
      <c r="G192" s="34"/>
    </row>
    <row r="193" spans="1:7" s="35" customFormat="1" ht="15.75">
      <c r="A193" s="50" t="s">
        <v>106</v>
      </c>
      <c r="B193" s="43" t="s">
        <v>248</v>
      </c>
      <c r="C193" s="40" t="s">
        <v>251</v>
      </c>
      <c r="D193" s="58" t="s">
        <v>107</v>
      </c>
      <c r="E193" s="41">
        <f>E194</f>
        <v>14559.4</v>
      </c>
      <c r="F193" s="41"/>
      <c r="G193" s="34"/>
    </row>
    <row r="194" spans="1:7" s="35" customFormat="1" ht="31.5">
      <c r="A194" s="15" t="s">
        <v>108</v>
      </c>
      <c r="B194" s="43" t="s">
        <v>248</v>
      </c>
      <c r="C194" s="40" t="s">
        <v>251</v>
      </c>
      <c r="D194" s="58" t="s">
        <v>109</v>
      </c>
      <c r="E194" s="41">
        <f>3709.8+6628.2-550+1420.9+1676.2+1000+927.4+496.9-750</f>
        <v>14559.4</v>
      </c>
      <c r="F194" s="41"/>
      <c r="G194" s="34"/>
    </row>
    <row r="195" spans="1:7" s="35" customFormat="1" ht="94.5">
      <c r="A195" s="15" t="s">
        <v>549</v>
      </c>
      <c r="B195" s="43" t="s">
        <v>248</v>
      </c>
      <c r="C195" s="40" t="s">
        <v>550</v>
      </c>
      <c r="D195" s="58"/>
      <c r="E195" s="41">
        <f>E196</f>
        <v>23500</v>
      </c>
      <c r="F195" s="41"/>
      <c r="G195" s="34"/>
    </row>
    <row r="196" spans="1:7" s="35" customFormat="1" ht="15.75">
      <c r="A196" s="15" t="s">
        <v>110</v>
      </c>
      <c r="B196" s="43" t="s">
        <v>248</v>
      </c>
      <c r="C196" s="40" t="s">
        <v>550</v>
      </c>
      <c r="D196" s="58" t="s">
        <v>111</v>
      </c>
      <c r="E196" s="41">
        <f>E197</f>
        <v>23500</v>
      </c>
      <c r="F196" s="41"/>
      <c r="G196" s="34"/>
    </row>
    <row r="197" spans="1:8" s="35" customFormat="1" ht="63">
      <c r="A197" s="113" t="s">
        <v>65</v>
      </c>
      <c r="B197" s="43" t="s">
        <v>248</v>
      </c>
      <c r="C197" s="40" t="s">
        <v>550</v>
      </c>
      <c r="D197" s="58" t="s">
        <v>66</v>
      </c>
      <c r="E197" s="41">
        <f>10000+13500</f>
        <v>23500</v>
      </c>
      <c r="F197" s="41"/>
      <c r="G197" s="34"/>
      <c r="H197" s="34"/>
    </row>
    <row r="198" spans="1:7" s="35" customFormat="1" ht="60">
      <c r="A198" s="201" t="s">
        <v>584</v>
      </c>
      <c r="B198" s="43" t="s">
        <v>248</v>
      </c>
      <c r="C198" s="40" t="s">
        <v>581</v>
      </c>
      <c r="D198" s="58"/>
      <c r="E198" s="41">
        <f>E199+E202</f>
        <v>10100</v>
      </c>
      <c r="F198" s="41">
        <f>E198</f>
        <v>10100</v>
      </c>
      <c r="G198" s="34"/>
    </row>
    <row r="199" spans="1:7" s="35" customFormat="1" ht="75">
      <c r="A199" s="201" t="s">
        <v>585</v>
      </c>
      <c r="B199" s="43" t="s">
        <v>248</v>
      </c>
      <c r="C199" s="40" t="s">
        <v>581</v>
      </c>
      <c r="D199" s="58"/>
      <c r="E199" s="41">
        <f>E200</f>
        <v>6100</v>
      </c>
      <c r="F199" s="41"/>
      <c r="G199" s="34"/>
    </row>
    <row r="200" spans="1:7" s="35" customFormat="1" ht="15.75">
      <c r="A200" s="199" t="s">
        <v>110</v>
      </c>
      <c r="B200" s="43" t="s">
        <v>248</v>
      </c>
      <c r="C200" s="40" t="s">
        <v>581</v>
      </c>
      <c r="D200" s="58" t="s">
        <v>111</v>
      </c>
      <c r="E200" s="41">
        <f>E201</f>
        <v>6100</v>
      </c>
      <c r="F200" s="41"/>
      <c r="G200" s="34"/>
    </row>
    <row r="201" spans="1:7" s="35" customFormat="1" ht="45">
      <c r="A201" s="199" t="s">
        <v>580</v>
      </c>
      <c r="B201" s="43" t="s">
        <v>248</v>
      </c>
      <c r="C201" s="40" t="s">
        <v>581</v>
      </c>
      <c r="D201" s="58" t="s">
        <v>237</v>
      </c>
      <c r="E201" s="41">
        <v>6100</v>
      </c>
      <c r="F201" s="41"/>
      <c r="G201" s="34"/>
    </row>
    <row r="202" spans="1:7" s="35" customFormat="1" ht="61.5" customHeight="1">
      <c r="A202" s="201" t="s">
        <v>586</v>
      </c>
      <c r="B202" s="43" t="s">
        <v>248</v>
      </c>
      <c r="C202" s="40" t="s">
        <v>581</v>
      </c>
      <c r="D202" s="58"/>
      <c r="E202" s="41">
        <f>E203</f>
        <v>4000</v>
      </c>
      <c r="F202" s="41"/>
      <c r="G202" s="34"/>
    </row>
    <row r="203" spans="1:7" s="35" customFormat="1" ht="15.75">
      <c r="A203" s="199" t="s">
        <v>110</v>
      </c>
      <c r="B203" s="43" t="s">
        <v>248</v>
      </c>
      <c r="C203" s="40" t="s">
        <v>581</v>
      </c>
      <c r="D203" s="58" t="s">
        <v>111</v>
      </c>
      <c r="E203" s="41">
        <f>E204</f>
        <v>4000</v>
      </c>
      <c r="F203" s="41"/>
      <c r="G203" s="34"/>
    </row>
    <row r="204" spans="1:7" s="35" customFormat="1" ht="45">
      <c r="A204" s="199" t="s">
        <v>580</v>
      </c>
      <c r="B204" s="43" t="s">
        <v>248</v>
      </c>
      <c r="C204" s="40" t="s">
        <v>581</v>
      </c>
      <c r="D204" s="58" t="s">
        <v>237</v>
      </c>
      <c r="E204" s="41">
        <v>4000</v>
      </c>
      <c r="F204" s="41"/>
      <c r="G204" s="34"/>
    </row>
    <row r="205" spans="1:8" s="64" customFormat="1" ht="15.75">
      <c r="A205" s="54" t="s">
        <v>252</v>
      </c>
      <c r="B205" s="59" t="s">
        <v>253</v>
      </c>
      <c r="C205" s="60"/>
      <c r="D205" s="32"/>
      <c r="E205" s="61">
        <f>E206</f>
        <v>80556.08165</v>
      </c>
      <c r="F205" s="61">
        <f>F206</f>
        <v>6520.360000000001</v>
      </c>
      <c r="G205" s="62"/>
      <c r="H205" s="63"/>
    </row>
    <row r="206" spans="1:7" s="35" customFormat="1" ht="63">
      <c r="A206" s="50" t="s">
        <v>187</v>
      </c>
      <c r="B206" s="43" t="s">
        <v>253</v>
      </c>
      <c r="C206" s="43" t="s">
        <v>188</v>
      </c>
      <c r="D206" s="43"/>
      <c r="E206" s="65">
        <f>E207</f>
        <v>80556.08165</v>
      </c>
      <c r="F206" s="65">
        <f>F208+F221+F235+F245</f>
        <v>6520.360000000001</v>
      </c>
      <c r="G206" s="34"/>
    </row>
    <row r="207" spans="1:7" s="35" customFormat="1" ht="15.75">
      <c r="A207" s="50" t="s">
        <v>254</v>
      </c>
      <c r="B207" s="43" t="s">
        <v>253</v>
      </c>
      <c r="C207" s="43" t="s">
        <v>255</v>
      </c>
      <c r="D207" s="43"/>
      <c r="E207" s="65">
        <f>E208+E221+E235+E245</f>
        <v>80556.08165</v>
      </c>
      <c r="F207" s="65"/>
      <c r="G207" s="34"/>
    </row>
    <row r="208" spans="1:7" s="35" customFormat="1" ht="47.25">
      <c r="A208" s="55" t="s">
        <v>256</v>
      </c>
      <c r="B208" s="43" t="s">
        <v>253</v>
      </c>
      <c r="C208" s="43" t="s">
        <v>257</v>
      </c>
      <c r="D208" s="43"/>
      <c r="E208" s="65">
        <f>E209+E212+E215+E218</f>
        <v>29281.811999999998</v>
      </c>
      <c r="F208" s="65"/>
      <c r="G208" s="34"/>
    </row>
    <row r="209" spans="1:7" s="35" customFormat="1" ht="15.75">
      <c r="A209" s="50" t="s">
        <v>258</v>
      </c>
      <c r="B209" s="43" t="s">
        <v>253</v>
      </c>
      <c r="C209" s="43" t="s">
        <v>259</v>
      </c>
      <c r="D209" s="43"/>
      <c r="E209" s="65">
        <f>E210</f>
        <v>18462.1</v>
      </c>
      <c r="F209" s="65"/>
      <c r="G209" s="34"/>
    </row>
    <row r="210" spans="1:7" s="35" customFormat="1" ht="31.5">
      <c r="A210" s="50" t="s">
        <v>260</v>
      </c>
      <c r="B210" s="43" t="s">
        <v>253</v>
      </c>
      <c r="C210" s="43" t="s">
        <v>259</v>
      </c>
      <c r="D210" s="43" t="s">
        <v>261</v>
      </c>
      <c r="E210" s="49">
        <f>E211</f>
        <v>18462.1</v>
      </c>
      <c r="F210" s="65"/>
      <c r="G210" s="34"/>
    </row>
    <row r="211" spans="1:7" s="35" customFormat="1" ht="15.75">
      <c r="A211" s="50" t="s">
        <v>262</v>
      </c>
      <c r="B211" s="43" t="s">
        <v>253</v>
      </c>
      <c r="C211" s="43" t="s">
        <v>259</v>
      </c>
      <c r="D211" s="43" t="s">
        <v>263</v>
      </c>
      <c r="E211" s="49">
        <f>14235+458.4+600+1324.4+830+425.1+89.2+500</f>
        <v>18462.1</v>
      </c>
      <c r="F211" s="65"/>
      <c r="G211" s="34"/>
    </row>
    <row r="212" spans="1:7" s="35" customFormat="1" ht="15.75">
      <c r="A212" s="50" t="s">
        <v>264</v>
      </c>
      <c r="B212" s="43" t="s">
        <v>253</v>
      </c>
      <c r="C212" s="43" t="s">
        <v>265</v>
      </c>
      <c r="D212" s="43"/>
      <c r="E212" s="65">
        <f>E213</f>
        <v>5658.2</v>
      </c>
      <c r="F212" s="65"/>
      <c r="G212" s="34"/>
    </row>
    <row r="213" spans="1:7" s="35" customFormat="1" ht="31.5">
      <c r="A213" s="50" t="s">
        <v>260</v>
      </c>
      <c r="B213" s="43" t="s">
        <v>253</v>
      </c>
      <c r="C213" s="43" t="s">
        <v>265</v>
      </c>
      <c r="D213" s="43" t="s">
        <v>261</v>
      </c>
      <c r="E213" s="49">
        <f>E214</f>
        <v>5658.2</v>
      </c>
      <c r="F213" s="65"/>
      <c r="G213" s="34"/>
    </row>
    <row r="214" spans="1:7" s="35" customFormat="1" ht="15.75">
      <c r="A214" s="50" t="s">
        <v>262</v>
      </c>
      <c r="B214" s="43" t="s">
        <v>253</v>
      </c>
      <c r="C214" s="43" t="s">
        <v>265</v>
      </c>
      <c r="D214" s="43" t="s">
        <v>263</v>
      </c>
      <c r="E214" s="49">
        <f>5423.2+235</f>
        <v>5658.2</v>
      </c>
      <c r="F214" s="65"/>
      <c r="G214" s="34"/>
    </row>
    <row r="215" spans="1:7" s="35" customFormat="1" ht="15.75">
      <c r="A215" s="50" t="s">
        <v>266</v>
      </c>
      <c r="B215" s="43" t="s">
        <v>253</v>
      </c>
      <c r="C215" s="43" t="s">
        <v>267</v>
      </c>
      <c r="E215" s="49">
        <f>E216</f>
        <v>5061.512000000001</v>
      </c>
      <c r="F215" s="49"/>
      <c r="G215" s="34"/>
    </row>
    <row r="216" spans="1:7" s="35" customFormat="1" ht="15.75">
      <c r="A216" s="15" t="s">
        <v>106</v>
      </c>
      <c r="B216" s="43" t="s">
        <v>253</v>
      </c>
      <c r="C216" s="43" t="s">
        <v>267</v>
      </c>
      <c r="D216" s="43" t="s">
        <v>107</v>
      </c>
      <c r="E216" s="49">
        <f>E217</f>
        <v>5061.512000000001</v>
      </c>
      <c r="F216" s="49"/>
      <c r="G216" s="34"/>
    </row>
    <row r="217" spans="1:7" s="35" customFormat="1" ht="31.5">
      <c r="A217" s="15" t="s">
        <v>108</v>
      </c>
      <c r="B217" s="43" t="s">
        <v>253</v>
      </c>
      <c r="C217" s="43" t="s">
        <v>267</v>
      </c>
      <c r="D217" s="43" t="s">
        <v>109</v>
      </c>
      <c r="E217" s="49">
        <f>4236.6+409.732+415.18</f>
        <v>5061.512000000001</v>
      </c>
      <c r="F217" s="49"/>
      <c r="G217" s="34"/>
    </row>
    <row r="218" spans="1:7" s="35" customFormat="1" ht="31.5">
      <c r="A218" s="50" t="s">
        <v>268</v>
      </c>
      <c r="B218" s="43" t="s">
        <v>253</v>
      </c>
      <c r="C218" s="43" t="s">
        <v>269</v>
      </c>
      <c r="E218" s="49">
        <f>E219</f>
        <v>100</v>
      </c>
      <c r="F218" s="49"/>
      <c r="G218" s="34"/>
    </row>
    <row r="219" spans="1:7" s="35" customFormat="1" ht="15.75">
      <c r="A219" s="15" t="s">
        <v>106</v>
      </c>
      <c r="B219" s="43" t="s">
        <v>253</v>
      </c>
      <c r="C219" s="43" t="s">
        <v>269</v>
      </c>
      <c r="D219" s="43" t="s">
        <v>107</v>
      </c>
      <c r="E219" s="49">
        <f>E220</f>
        <v>100</v>
      </c>
      <c r="F219" s="49"/>
      <c r="G219" s="34"/>
    </row>
    <row r="220" spans="1:7" s="35" customFormat="1" ht="31.5">
      <c r="A220" s="15" t="s">
        <v>108</v>
      </c>
      <c r="B220" s="43" t="s">
        <v>253</v>
      </c>
      <c r="C220" s="43" t="s">
        <v>269</v>
      </c>
      <c r="D220" s="43" t="s">
        <v>109</v>
      </c>
      <c r="E220" s="49">
        <v>100</v>
      </c>
      <c r="F220" s="49"/>
      <c r="G220" s="34"/>
    </row>
    <row r="221" spans="1:7" s="35" customFormat="1" ht="15.75">
      <c r="A221" s="55" t="s">
        <v>270</v>
      </c>
      <c r="B221" s="43" t="s">
        <v>253</v>
      </c>
      <c r="C221" s="43" t="s">
        <v>271</v>
      </c>
      <c r="D221" s="43"/>
      <c r="E221" s="49">
        <f>E222+E225+E232+E229</f>
        <v>21184.179650000002</v>
      </c>
      <c r="F221" s="49">
        <f>F229</f>
        <v>6442.47</v>
      </c>
      <c r="G221" s="34"/>
    </row>
    <row r="222" spans="1:7" s="35" customFormat="1" ht="15.75">
      <c r="A222" s="50" t="s">
        <v>272</v>
      </c>
      <c r="B222" s="43" t="s">
        <v>253</v>
      </c>
      <c r="C222" s="43" t="s">
        <v>273</v>
      </c>
      <c r="D222" s="43"/>
      <c r="E222" s="49">
        <f>E223</f>
        <v>4332.5</v>
      </c>
      <c r="F222" s="49"/>
      <c r="G222" s="34"/>
    </row>
    <row r="223" spans="1:7" s="35" customFormat="1" ht="15.75">
      <c r="A223" s="15" t="s">
        <v>106</v>
      </c>
      <c r="B223" s="43" t="s">
        <v>253</v>
      </c>
      <c r="C223" s="43" t="s">
        <v>273</v>
      </c>
      <c r="D223" s="43" t="s">
        <v>107</v>
      </c>
      <c r="E223" s="49">
        <f>E224</f>
        <v>4332.5</v>
      </c>
      <c r="F223" s="49"/>
      <c r="G223" s="34"/>
    </row>
    <row r="224" spans="1:8" s="35" customFormat="1" ht="31.5">
      <c r="A224" s="15" t="s">
        <v>108</v>
      </c>
      <c r="B224" s="43" t="s">
        <v>253</v>
      </c>
      <c r="C224" s="43" t="s">
        <v>273</v>
      </c>
      <c r="D224" s="43" t="s">
        <v>109</v>
      </c>
      <c r="E224" s="49">
        <f>4513-180.5</f>
        <v>4332.5</v>
      </c>
      <c r="F224" s="49"/>
      <c r="G224" s="34"/>
      <c r="H224" s="66"/>
    </row>
    <row r="225" spans="1:8" s="35" customFormat="1" ht="30" customHeight="1">
      <c r="A225" s="15" t="s">
        <v>274</v>
      </c>
      <c r="B225" s="43" t="s">
        <v>253</v>
      </c>
      <c r="C225" s="43" t="s">
        <v>275</v>
      </c>
      <c r="D225" s="43"/>
      <c r="E225" s="49">
        <f>E226</f>
        <v>6221.2</v>
      </c>
      <c r="F225" s="49"/>
      <c r="G225" s="34"/>
      <c r="H225" s="66"/>
    </row>
    <row r="226" spans="1:8" s="35" customFormat="1" ht="15.75">
      <c r="A226" s="15" t="s">
        <v>106</v>
      </c>
      <c r="B226" s="43" t="s">
        <v>253</v>
      </c>
      <c r="C226" s="43" t="s">
        <v>275</v>
      </c>
      <c r="D226" s="43" t="s">
        <v>107</v>
      </c>
      <c r="E226" s="49">
        <f>E227</f>
        <v>6221.2</v>
      </c>
      <c r="F226" s="49"/>
      <c r="G226" s="34"/>
      <c r="H226" s="66"/>
    </row>
    <row r="227" spans="1:8" s="35" customFormat="1" ht="31.5">
      <c r="A227" s="15" t="s">
        <v>108</v>
      </c>
      <c r="B227" s="43" t="s">
        <v>253</v>
      </c>
      <c r="C227" s="43" t="s">
        <v>275</v>
      </c>
      <c r="D227" s="43" t="s">
        <v>109</v>
      </c>
      <c r="E227" s="49">
        <f>4000+2196.2+25</f>
        <v>6221.2</v>
      </c>
      <c r="F227" s="49"/>
      <c r="G227" s="34">
        <v>25</v>
      </c>
      <c r="H227" s="66"/>
    </row>
    <row r="228" spans="1:8" s="35" customFormat="1" ht="31.5">
      <c r="A228" s="50" t="s">
        <v>195</v>
      </c>
      <c r="B228" s="43" t="s">
        <v>253</v>
      </c>
      <c r="C228" s="43" t="s">
        <v>276</v>
      </c>
      <c r="D228" s="43"/>
      <c r="E228" s="49">
        <f>E229</f>
        <v>7847.120000000001</v>
      </c>
      <c r="F228" s="49"/>
      <c r="G228" s="34"/>
      <c r="H228" s="66"/>
    </row>
    <row r="229" spans="1:8" s="35" customFormat="1" ht="48" customHeight="1">
      <c r="A229" s="18" t="s">
        <v>277</v>
      </c>
      <c r="B229" s="43" t="s">
        <v>253</v>
      </c>
      <c r="C229" s="43" t="s">
        <v>278</v>
      </c>
      <c r="D229" s="43"/>
      <c r="E229" s="49">
        <f>E230</f>
        <v>7847.120000000001</v>
      </c>
      <c r="F229" s="49">
        <f>6513.83-71.36</f>
        <v>6442.47</v>
      </c>
      <c r="G229" s="34"/>
      <c r="H229" s="66"/>
    </row>
    <row r="230" spans="1:8" s="35" customFormat="1" ht="15.75">
      <c r="A230" s="15" t="s">
        <v>106</v>
      </c>
      <c r="B230" s="43" t="s">
        <v>253</v>
      </c>
      <c r="C230" s="43" t="s">
        <v>278</v>
      </c>
      <c r="D230" s="43" t="s">
        <v>107</v>
      </c>
      <c r="E230" s="49">
        <f>E231</f>
        <v>7847.120000000001</v>
      </c>
      <c r="F230" s="49"/>
      <c r="G230" s="34"/>
      <c r="H230" s="66"/>
    </row>
    <row r="231" spans="1:8" s="35" customFormat="1" ht="31.5">
      <c r="A231" s="15" t="s">
        <v>108</v>
      </c>
      <c r="B231" s="43" t="s">
        <v>253</v>
      </c>
      <c r="C231" s="43" t="s">
        <v>278</v>
      </c>
      <c r="D231" s="43" t="s">
        <v>109</v>
      </c>
      <c r="E231" s="49">
        <f>6513.83+1420.19-71.36-15.54</f>
        <v>7847.120000000001</v>
      </c>
      <c r="F231" s="49"/>
      <c r="G231" s="34">
        <f>-71.36-15.54</f>
        <v>-86.9</v>
      </c>
      <c r="H231" s="66"/>
    </row>
    <row r="232" spans="1:8" s="35" customFormat="1" ht="15.75">
      <c r="A232" s="50" t="s">
        <v>279</v>
      </c>
      <c r="B232" s="43" t="s">
        <v>253</v>
      </c>
      <c r="C232" s="43" t="s">
        <v>280</v>
      </c>
      <c r="D232" s="43"/>
      <c r="E232" s="49">
        <f>E233</f>
        <v>2783.3596500000003</v>
      </c>
      <c r="F232" s="49"/>
      <c r="G232" s="34"/>
      <c r="H232" s="66"/>
    </row>
    <row r="233" spans="1:8" s="35" customFormat="1" ht="15.75">
      <c r="A233" s="15" t="s">
        <v>106</v>
      </c>
      <c r="B233" s="43" t="s">
        <v>253</v>
      </c>
      <c r="C233" s="43" t="s">
        <v>280</v>
      </c>
      <c r="D233" s="43" t="s">
        <v>107</v>
      </c>
      <c r="E233" s="49">
        <f>E234</f>
        <v>2783.3596500000003</v>
      </c>
      <c r="F233" s="49"/>
      <c r="G233" s="34"/>
      <c r="H233" s="66"/>
    </row>
    <row r="234" spans="1:8" s="35" customFormat="1" ht="31.5">
      <c r="A234" s="15" t="s">
        <v>108</v>
      </c>
      <c r="B234" s="43" t="s">
        <v>253</v>
      </c>
      <c r="C234" s="43" t="s">
        <v>280</v>
      </c>
      <c r="D234" s="43" t="s">
        <v>109</v>
      </c>
      <c r="E234" s="49">
        <f>1300-517.6+110.2+1039.2+450.13025-70.4+442.5294-15.7+45</f>
        <v>2783.3596500000003</v>
      </c>
      <c r="F234" s="49"/>
      <c r="G234" s="34"/>
      <c r="H234" s="66"/>
    </row>
    <row r="235" spans="1:7" s="35" customFormat="1" ht="31.5">
      <c r="A235" s="55" t="s">
        <v>281</v>
      </c>
      <c r="B235" s="43" t="s">
        <v>253</v>
      </c>
      <c r="C235" s="43" t="s">
        <v>282</v>
      </c>
      <c r="D235" s="43"/>
      <c r="E235" s="49">
        <f>E236</f>
        <v>8265.2</v>
      </c>
      <c r="F235" s="49"/>
      <c r="G235" s="34"/>
    </row>
    <row r="236" spans="1:8" s="35" customFormat="1" ht="15.75">
      <c r="A236" s="15" t="s">
        <v>283</v>
      </c>
      <c r="B236" s="43" t="s">
        <v>253</v>
      </c>
      <c r="C236" s="43" t="s">
        <v>284</v>
      </c>
      <c r="D236" s="43"/>
      <c r="E236" s="49">
        <f>E237</f>
        <v>8265.2</v>
      </c>
      <c r="F236" s="49"/>
      <c r="G236" s="34"/>
      <c r="H236" s="66"/>
    </row>
    <row r="237" spans="1:7" s="35" customFormat="1" ht="47.25">
      <c r="A237" s="39" t="s">
        <v>285</v>
      </c>
      <c r="B237" s="43" t="s">
        <v>253</v>
      </c>
      <c r="C237" s="43" t="s">
        <v>284</v>
      </c>
      <c r="D237" s="43"/>
      <c r="E237" s="49">
        <f>E238</f>
        <v>8265.2</v>
      </c>
      <c r="F237" s="49"/>
      <c r="G237" s="34"/>
    </row>
    <row r="238" spans="1:7" s="35" customFormat="1" ht="63">
      <c r="A238" s="39" t="s">
        <v>92</v>
      </c>
      <c r="B238" s="43" t="s">
        <v>253</v>
      </c>
      <c r="C238" s="43" t="s">
        <v>284</v>
      </c>
      <c r="D238" s="43"/>
      <c r="E238" s="49">
        <f>E239+E241+E243</f>
        <v>8265.2</v>
      </c>
      <c r="F238" s="49"/>
      <c r="G238" s="34"/>
    </row>
    <row r="239" spans="1:7" s="35" customFormat="1" ht="15.75">
      <c r="A239" s="39" t="s">
        <v>153</v>
      </c>
      <c r="B239" s="43" t="s">
        <v>253</v>
      </c>
      <c r="C239" s="43" t="s">
        <v>284</v>
      </c>
      <c r="D239" s="43" t="s">
        <v>93</v>
      </c>
      <c r="E239" s="49">
        <f>E240</f>
        <v>6245.4</v>
      </c>
      <c r="F239" s="49"/>
      <c r="G239" s="34"/>
    </row>
    <row r="240" spans="1:7" s="35" customFormat="1" ht="15.75">
      <c r="A240" s="50" t="s">
        <v>106</v>
      </c>
      <c r="B240" s="43" t="s">
        <v>253</v>
      </c>
      <c r="C240" s="43" t="s">
        <v>284</v>
      </c>
      <c r="D240" s="43" t="s">
        <v>154</v>
      </c>
      <c r="E240" s="49">
        <f>5845.4+400</f>
        <v>6245.4</v>
      </c>
      <c r="F240" s="49"/>
      <c r="G240" s="34"/>
    </row>
    <row r="241" spans="1:7" s="35" customFormat="1" ht="31.5">
      <c r="A241" s="50" t="s">
        <v>108</v>
      </c>
      <c r="B241" s="43" t="s">
        <v>253</v>
      </c>
      <c r="C241" s="43" t="s">
        <v>284</v>
      </c>
      <c r="D241" s="43" t="s">
        <v>107</v>
      </c>
      <c r="E241" s="49">
        <f>E242</f>
        <v>2009.8000000000002</v>
      </c>
      <c r="F241" s="49"/>
      <c r="G241" s="34"/>
    </row>
    <row r="242" spans="1:7" s="35" customFormat="1" ht="15.75">
      <c r="A242" s="39" t="s">
        <v>110</v>
      </c>
      <c r="B242" s="43" t="s">
        <v>253</v>
      </c>
      <c r="C242" s="43" t="s">
        <v>284</v>
      </c>
      <c r="D242" s="43" t="s">
        <v>109</v>
      </c>
      <c r="E242" s="49">
        <f>2590-10+700+1000-1000-400+1836.8-2907+200</f>
        <v>2009.8000000000002</v>
      </c>
      <c r="F242" s="49"/>
      <c r="G242" s="34"/>
    </row>
    <row r="243" spans="1:7" s="35" customFormat="1" ht="15.75">
      <c r="A243" s="39" t="s">
        <v>112</v>
      </c>
      <c r="B243" s="43" t="s">
        <v>253</v>
      </c>
      <c r="C243" s="43" t="s">
        <v>284</v>
      </c>
      <c r="D243" s="43" t="s">
        <v>111</v>
      </c>
      <c r="E243" s="49">
        <f>E244</f>
        <v>10</v>
      </c>
      <c r="F243" s="49"/>
      <c r="G243" s="34"/>
    </row>
    <row r="244" spans="1:7" s="35" customFormat="1" ht="15.75">
      <c r="A244" s="39" t="s">
        <v>112</v>
      </c>
      <c r="B244" s="43" t="s">
        <v>253</v>
      </c>
      <c r="C244" s="43" t="s">
        <v>284</v>
      </c>
      <c r="D244" s="43" t="s">
        <v>113</v>
      </c>
      <c r="E244" s="49">
        <v>10</v>
      </c>
      <c r="F244" s="49"/>
      <c r="G244" s="34"/>
    </row>
    <row r="245" spans="1:7" s="35" customFormat="1" ht="15.75">
      <c r="A245" s="55" t="s">
        <v>286</v>
      </c>
      <c r="B245" s="43" t="s">
        <v>253</v>
      </c>
      <c r="C245" s="43" t="s">
        <v>287</v>
      </c>
      <c r="D245" s="43"/>
      <c r="E245" s="49">
        <f>E246+E249</f>
        <v>21824.89</v>
      </c>
      <c r="F245" s="49">
        <f>F249</f>
        <v>77.89</v>
      </c>
      <c r="G245" s="34"/>
    </row>
    <row r="246" spans="1:7" s="35" customFormat="1" ht="15.75">
      <c r="A246" s="50" t="s">
        <v>288</v>
      </c>
      <c r="B246" s="43" t="s">
        <v>253</v>
      </c>
      <c r="C246" s="43" t="s">
        <v>289</v>
      </c>
      <c r="D246" s="43"/>
      <c r="E246" s="49">
        <f>E247</f>
        <v>21747</v>
      </c>
      <c r="F246" s="49"/>
      <c r="G246" s="34"/>
    </row>
    <row r="247" spans="1:7" s="35" customFormat="1" ht="15.75">
      <c r="A247" s="15" t="s">
        <v>106</v>
      </c>
      <c r="B247" s="43" t="s">
        <v>253</v>
      </c>
      <c r="C247" s="43" t="s">
        <v>289</v>
      </c>
      <c r="D247" s="43" t="s">
        <v>107</v>
      </c>
      <c r="E247" s="49">
        <f>E248</f>
        <v>21747</v>
      </c>
      <c r="F247" s="49"/>
      <c r="G247" s="34"/>
    </row>
    <row r="248" spans="1:7" s="35" customFormat="1" ht="31.5">
      <c r="A248" s="15" t="s">
        <v>108</v>
      </c>
      <c r="B248" s="43" t="s">
        <v>253</v>
      </c>
      <c r="C248" s="43" t="s">
        <v>289</v>
      </c>
      <c r="D248" s="43" t="s">
        <v>109</v>
      </c>
      <c r="E248" s="49">
        <f>2400-2000+750+200+90+550+10000+1300+11000-7000-1000+1200-200+2877+80+1000+500</f>
        <v>21747</v>
      </c>
      <c r="F248" s="49"/>
      <c r="G248" s="34"/>
    </row>
    <row r="249" spans="1:7" s="35" customFormat="1" ht="31.5">
      <c r="A249" s="50" t="s">
        <v>600</v>
      </c>
      <c r="B249" s="43" t="s">
        <v>253</v>
      </c>
      <c r="C249" s="43" t="s">
        <v>287</v>
      </c>
      <c r="D249" s="43"/>
      <c r="E249" s="49">
        <f>E250+E253</f>
        <v>77.89</v>
      </c>
      <c r="F249" s="49">
        <f>E249</f>
        <v>77.89</v>
      </c>
      <c r="G249" s="34"/>
    </row>
    <row r="250" spans="1:7" s="35" customFormat="1" ht="31.5">
      <c r="A250" s="56" t="s">
        <v>290</v>
      </c>
      <c r="B250" s="43" t="s">
        <v>253</v>
      </c>
      <c r="C250" s="43" t="s">
        <v>601</v>
      </c>
      <c r="D250" s="43"/>
      <c r="E250" s="49">
        <f>E251</f>
        <v>77.89</v>
      </c>
      <c r="F250" s="49"/>
      <c r="G250" s="34"/>
    </row>
    <row r="251" spans="1:7" s="35" customFormat="1" ht="15.75">
      <c r="A251" s="15" t="s">
        <v>106</v>
      </c>
      <c r="B251" s="43" t="s">
        <v>253</v>
      </c>
      <c r="C251" s="43" t="s">
        <v>601</v>
      </c>
      <c r="D251" s="43" t="s">
        <v>107</v>
      </c>
      <c r="E251" s="49">
        <f>E252</f>
        <v>77.89</v>
      </c>
      <c r="F251" s="49"/>
      <c r="G251" s="34"/>
    </row>
    <row r="252" spans="1:7" s="35" customFormat="1" ht="31.5">
      <c r="A252" s="15" t="s">
        <v>108</v>
      </c>
      <c r="B252" s="43" t="s">
        <v>253</v>
      </c>
      <c r="C252" s="43" t="s">
        <v>601</v>
      </c>
      <c r="D252" s="43" t="s">
        <v>109</v>
      </c>
      <c r="E252" s="49">
        <v>77.89</v>
      </c>
      <c r="F252" s="49"/>
      <c r="G252" s="34"/>
    </row>
    <row r="253" spans="1:7" s="35" customFormat="1" ht="37.5" customHeight="1" hidden="1">
      <c r="A253" s="56" t="s">
        <v>291</v>
      </c>
      <c r="B253" s="43" t="s">
        <v>253</v>
      </c>
      <c r="C253" s="43" t="s">
        <v>292</v>
      </c>
      <c r="D253" s="43"/>
      <c r="E253" s="49">
        <f>E254</f>
        <v>0</v>
      </c>
      <c r="F253" s="49">
        <v>0</v>
      </c>
      <c r="G253" s="34"/>
    </row>
    <row r="254" spans="1:7" s="35" customFormat="1" ht="15.75" hidden="1">
      <c r="A254" s="15" t="s">
        <v>106</v>
      </c>
      <c r="B254" s="43" t="s">
        <v>253</v>
      </c>
      <c r="C254" s="43" t="s">
        <v>292</v>
      </c>
      <c r="D254" s="43" t="s">
        <v>107</v>
      </c>
      <c r="E254" s="49">
        <f>E255</f>
        <v>0</v>
      </c>
      <c r="F254" s="49"/>
      <c r="G254" s="34"/>
    </row>
    <row r="255" spans="1:7" s="35" customFormat="1" ht="31.5" hidden="1">
      <c r="A255" s="15" t="s">
        <v>108</v>
      </c>
      <c r="B255" s="43" t="s">
        <v>253</v>
      </c>
      <c r="C255" s="43" t="s">
        <v>292</v>
      </c>
      <c r="D255" s="43" t="s">
        <v>109</v>
      </c>
      <c r="E255" s="49">
        <f>5673.79+1237-6910.79</f>
        <v>0</v>
      </c>
      <c r="F255" s="49"/>
      <c r="G255" s="34"/>
    </row>
    <row r="256" spans="1:7" s="35" customFormat="1" ht="15.75">
      <c r="A256" s="44" t="s">
        <v>293</v>
      </c>
      <c r="B256" s="31" t="s">
        <v>294</v>
      </c>
      <c r="C256" s="32"/>
      <c r="D256" s="32"/>
      <c r="E256" s="51">
        <f>E257</f>
        <v>60</v>
      </c>
      <c r="F256" s="51">
        <v>0</v>
      </c>
      <c r="G256" s="34"/>
    </row>
    <row r="257" spans="1:7" s="35" customFormat="1" ht="31.5">
      <c r="A257" s="15" t="s">
        <v>295</v>
      </c>
      <c r="B257" s="43" t="s">
        <v>296</v>
      </c>
      <c r="C257" s="43" t="s">
        <v>297</v>
      </c>
      <c r="D257" s="43"/>
      <c r="E257" s="67">
        <f>E258</f>
        <v>60</v>
      </c>
      <c r="F257" s="67"/>
      <c r="G257" s="34"/>
    </row>
    <row r="258" spans="1:7" s="35" customFormat="1" ht="15.75">
      <c r="A258" s="15" t="s">
        <v>106</v>
      </c>
      <c r="B258" s="43" t="s">
        <v>296</v>
      </c>
      <c r="C258" s="43" t="s">
        <v>298</v>
      </c>
      <c r="D258" s="43" t="s">
        <v>107</v>
      </c>
      <c r="E258" s="41">
        <f>E259</f>
        <v>60</v>
      </c>
      <c r="F258" s="41"/>
      <c r="G258" s="34"/>
    </row>
    <row r="259" spans="1:7" s="11" customFormat="1" ht="31.5">
      <c r="A259" s="15" t="s">
        <v>108</v>
      </c>
      <c r="B259" s="43" t="s">
        <v>296</v>
      </c>
      <c r="C259" s="43" t="s">
        <v>298</v>
      </c>
      <c r="D259" s="43" t="s">
        <v>109</v>
      </c>
      <c r="E259" s="41">
        <f>1022-962</f>
        <v>60</v>
      </c>
      <c r="F259" s="41"/>
      <c r="G259" s="29"/>
    </row>
    <row r="260" spans="1:7" s="11" customFormat="1" ht="15.75">
      <c r="A260" s="44" t="s">
        <v>299</v>
      </c>
      <c r="B260" s="31" t="s">
        <v>300</v>
      </c>
      <c r="C260" s="32"/>
      <c r="D260" s="32"/>
      <c r="E260" s="51">
        <f>E261</f>
        <v>40826.1</v>
      </c>
      <c r="F260" s="51">
        <f>SUM(F262:F266)</f>
        <v>0</v>
      </c>
      <c r="G260" s="29"/>
    </row>
    <row r="261" spans="1:7" s="11" customFormat="1" ht="15.75">
      <c r="A261" s="46" t="s">
        <v>301</v>
      </c>
      <c r="B261" s="43" t="s">
        <v>302</v>
      </c>
      <c r="C261" s="43"/>
      <c r="D261" s="43"/>
      <c r="E261" s="41">
        <f>E262</f>
        <v>40826.1</v>
      </c>
      <c r="F261" s="41"/>
      <c r="G261" s="29"/>
    </row>
    <row r="262" spans="1:7" s="11" customFormat="1" ht="31.5">
      <c r="A262" s="15" t="s">
        <v>303</v>
      </c>
      <c r="B262" s="43" t="s">
        <v>302</v>
      </c>
      <c r="C262" s="43" t="s">
        <v>304</v>
      </c>
      <c r="D262" s="40"/>
      <c r="E262" s="41">
        <f>E263+E270+E267</f>
        <v>40826.1</v>
      </c>
      <c r="F262" s="41"/>
      <c r="G262" s="29"/>
    </row>
    <row r="263" spans="1:7" s="11" customFormat="1" ht="31.5">
      <c r="A263" s="50" t="s">
        <v>305</v>
      </c>
      <c r="B263" s="43" t="s">
        <v>302</v>
      </c>
      <c r="C263" s="40" t="s">
        <v>306</v>
      </c>
      <c r="D263" s="40"/>
      <c r="E263" s="41">
        <f>E264</f>
        <v>33246.1</v>
      </c>
      <c r="F263" s="41"/>
      <c r="G263" s="29"/>
    </row>
    <row r="264" spans="1:7" s="11" customFormat="1" ht="15.75">
      <c r="A264" s="50" t="s">
        <v>307</v>
      </c>
      <c r="B264" s="43" t="s">
        <v>302</v>
      </c>
      <c r="C264" s="40" t="s">
        <v>306</v>
      </c>
      <c r="D264" s="40"/>
      <c r="E264" s="41">
        <f>E265</f>
        <v>33246.1</v>
      </c>
      <c r="F264" s="41"/>
      <c r="G264" s="29"/>
    </row>
    <row r="265" spans="1:7" s="11" customFormat="1" ht="31.5">
      <c r="A265" s="50" t="s">
        <v>260</v>
      </c>
      <c r="B265" s="43" t="s">
        <v>302</v>
      </c>
      <c r="C265" s="40" t="s">
        <v>306</v>
      </c>
      <c r="D265" s="40" t="s">
        <v>261</v>
      </c>
      <c r="E265" s="41">
        <f>E266</f>
        <v>33246.1</v>
      </c>
      <c r="F265" s="41"/>
      <c r="G265" s="29"/>
    </row>
    <row r="266" spans="1:7" s="11" customFormat="1" ht="15.75">
      <c r="A266" s="50" t="s">
        <v>262</v>
      </c>
      <c r="B266" s="43" t="s">
        <v>302</v>
      </c>
      <c r="C266" s="40" t="s">
        <v>306</v>
      </c>
      <c r="D266" s="40" t="s">
        <v>263</v>
      </c>
      <c r="E266" s="41">
        <f>26729.1+400+50+420+1000+4647</f>
        <v>33246.1</v>
      </c>
      <c r="F266" s="41"/>
      <c r="G266" s="29"/>
    </row>
    <row r="267" spans="1:7" s="11" customFormat="1" ht="31.5">
      <c r="A267" s="50" t="s">
        <v>308</v>
      </c>
      <c r="B267" s="43" t="s">
        <v>302</v>
      </c>
      <c r="C267" s="40" t="s">
        <v>309</v>
      </c>
      <c r="D267" s="40"/>
      <c r="E267" s="41">
        <f>E268</f>
        <v>7500</v>
      </c>
      <c r="F267" s="41"/>
      <c r="G267" s="29"/>
    </row>
    <row r="268" spans="1:7" s="11" customFormat="1" ht="15.75">
      <c r="A268" s="50" t="s">
        <v>106</v>
      </c>
      <c r="B268" s="43" t="s">
        <v>302</v>
      </c>
      <c r="C268" s="40" t="s">
        <v>309</v>
      </c>
      <c r="D268" s="40" t="s">
        <v>107</v>
      </c>
      <c r="E268" s="41">
        <f>E269</f>
        <v>7500</v>
      </c>
      <c r="F268" s="41"/>
      <c r="G268" s="29"/>
    </row>
    <row r="269" spans="1:7" s="11" customFormat="1" ht="31.5">
      <c r="A269" s="15" t="s">
        <v>108</v>
      </c>
      <c r="B269" s="43" t="s">
        <v>302</v>
      </c>
      <c r="C269" s="40" t="s">
        <v>309</v>
      </c>
      <c r="D269" s="40" t="s">
        <v>109</v>
      </c>
      <c r="E269" s="41">
        <f>15500-8000</f>
        <v>7500</v>
      </c>
      <c r="F269" s="41"/>
      <c r="G269" s="29"/>
    </row>
    <row r="270" spans="1:7" s="11" customFormat="1" ht="31.5">
      <c r="A270" s="50" t="s">
        <v>310</v>
      </c>
      <c r="B270" s="43" t="s">
        <v>302</v>
      </c>
      <c r="C270" s="40" t="s">
        <v>311</v>
      </c>
      <c r="D270" s="43"/>
      <c r="E270" s="41">
        <f>E271</f>
        <v>80</v>
      </c>
      <c r="F270" s="41"/>
      <c r="G270" s="29"/>
    </row>
    <row r="271" spans="1:7" s="11" customFormat="1" ht="15.75">
      <c r="A271" s="50" t="s">
        <v>312</v>
      </c>
      <c r="B271" s="43" t="s">
        <v>302</v>
      </c>
      <c r="C271" s="40" t="s">
        <v>311</v>
      </c>
      <c r="D271" s="40"/>
      <c r="E271" s="41">
        <f>E272</f>
        <v>80</v>
      </c>
      <c r="F271" s="41"/>
      <c r="G271" s="29"/>
    </row>
    <row r="272" spans="1:7" s="11" customFormat="1" ht="15.75">
      <c r="A272" s="50" t="s">
        <v>106</v>
      </c>
      <c r="B272" s="43" t="s">
        <v>302</v>
      </c>
      <c r="C272" s="40" t="s">
        <v>311</v>
      </c>
      <c r="D272" s="40" t="s">
        <v>107</v>
      </c>
      <c r="E272" s="41">
        <f>E273</f>
        <v>80</v>
      </c>
      <c r="F272" s="41"/>
      <c r="G272" s="29"/>
    </row>
    <row r="273" spans="1:7" s="11" customFormat="1" ht="31.5">
      <c r="A273" s="15" t="s">
        <v>108</v>
      </c>
      <c r="B273" s="43" t="s">
        <v>302</v>
      </c>
      <c r="C273" s="40" t="s">
        <v>311</v>
      </c>
      <c r="D273" s="40" t="s">
        <v>109</v>
      </c>
      <c r="E273" s="41">
        <f>450-420+50</f>
        <v>80</v>
      </c>
      <c r="F273" s="41"/>
      <c r="G273" s="29"/>
    </row>
    <row r="274" spans="1:7" s="11" customFormat="1" ht="15.75">
      <c r="A274" s="45" t="s">
        <v>313</v>
      </c>
      <c r="B274" s="31" t="s">
        <v>314</v>
      </c>
      <c r="C274" s="32"/>
      <c r="D274" s="32"/>
      <c r="E274" s="51">
        <f>E275</f>
        <v>850.01</v>
      </c>
      <c r="F274" s="51"/>
      <c r="G274" s="29"/>
    </row>
    <row r="275" spans="1:7" s="11" customFormat="1" ht="15.75">
      <c r="A275" s="68" t="s">
        <v>149</v>
      </c>
      <c r="B275" s="69" t="s">
        <v>315</v>
      </c>
      <c r="C275" s="43"/>
      <c r="D275" s="40"/>
      <c r="E275" s="17">
        <f>E276</f>
        <v>850.01</v>
      </c>
      <c r="F275" s="17"/>
      <c r="G275" s="29"/>
    </row>
    <row r="276" spans="1:7" s="11" customFormat="1" ht="15.75">
      <c r="A276" s="46" t="s">
        <v>316</v>
      </c>
      <c r="B276" s="69" t="s">
        <v>315</v>
      </c>
      <c r="C276" s="43" t="s">
        <v>317</v>
      </c>
      <c r="D276" s="40"/>
      <c r="E276" s="17">
        <f>E277</f>
        <v>850.01</v>
      </c>
      <c r="F276" s="17"/>
      <c r="G276" s="29"/>
    </row>
    <row r="277" spans="1:6" ht="15.75">
      <c r="A277" s="42" t="s">
        <v>318</v>
      </c>
      <c r="B277" s="69" t="s">
        <v>315</v>
      </c>
      <c r="C277" s="43" t="s">
        <v>317</v>
      </c>
      <c r="D277" s="40"/>
      <c r="E277" s="17">
        <f>E278</f>
        <v>850.01</v>
      </c>
      <c r="F277" s="17"/>
    </row>
    <row r="278" spans="1:6" ht="31.5">
      <c r="A278" s="42" t="s">
        <v>319</v>
      </c>
      <c r="B278" s="69" t="s">
        <v>315</v>
      </c>
      <c r="C278" s="43" t="s">
        <v>320</v>
      </c>
      <c r="D278" s="40"/>
      <c r="E278" s="17">
        <f>E280</f>
        <v>850.01</v>
      </c>
      <c r="F278" s="17"/>
    </row>
    <row r="279" spans="1:6" ht="15.75">
      <c r="A279" s="42" t="s">
        <v>321</v>
      </c>
      <c r="B279" s="69" t="s">
        <v>315</v>
      </c>
      <c r="C279" s="43" t="s">
        <v>320</v>
      </c>
      <c r="D279" s="43" t="s">
        <v>322</v>
      </c>
      <c r="E279" s="17">
        <f>E280</f>
        <v>850.01</v>
      </c>
      <c r="F279" s="17"/>
    </row>
    <row r="280" spans="1:7" ht="15.75">
      <c r="A280" s="42" t="s">
        <v>323</v>
      </c>
      <c r="B280" s="69" t="s">
        <v>315</v>
      </c>
      <c r="C280" s="43" t="s">
        <v>320</v>
      </c>
      <c r="D280" s="43" t="s">
        <v>324</v>
      </c>
      <c r="E280" s="17">
        <f>710+70+70.01</f>
        <v>850.01</v>
      </c>
      <c r="F280" s="17"/>
      <c r="G280" s="25">
        <v>70.01</v>
      </c>
    </row>
    <row r="281" spans="1:6" ht="15.75">
      <c r="A281" s="44" t="s">
        <v>325</v>
      </c>
      <c r="B281" s="31" t="s">
        <v>326</v>
      </c>
      <c r="C281" s="32"/>
      <c r="D281" s="32"/>
      <c r="E281" s="61">
        <f>E282</f>
        <v>99472.53</v>
      </c>
      <c r="F281" s="61">
        <f>F282</f>
        <v>53333.4</v>
      </c>
    </row>
    <row r="282" spans="1:6" ht="15.75">
      <c r="A282" s="70" t="s">
        <v>327</v>
      </c>
      <c r="B282" s="31" t="s">
        <v>326</v>
      </c>
      <c r="C282" s="31"/>
      <c r="D282" s="36"/>
      <c r="E282" s="71">
        <f>E283</f>
        <v>99472.53</v>
      </c>
      <c r="F282" s="71">
        <f>F283</f>
        <v>53333.4</v>
      </c>
    </row>
    <row r="283" spans="1:6" ht="47.25">
      <c r="A283" s="15" t="s">
        <v>328</v>
      </c>
      <c r="B283" s="43" t="s">
        <v>326</v>
      </c>
      <c r="C283" s="43" t="s">
        <v>329</v>
      </c>
      <c r="D283" s="43"/>
      <c r="E283" s="65">
        <f>E284+E288</f>
        <v>99472.53</v>
      </c>
      <c r="F283" s="65">
        <f>F288</f>
        <v>53333.4</v>
      </c>
    </row>
    <row r="284" spans="1:7" s="73" customFormat="1" ht="31.5">
      <c r="A284" s="50" t="s">
        <v>330</v>
      </c>
      <c r="B284" s="43" t="s">
        <v>331</v>
      </c>
      <c r="C284" s="43" t="s">
        <v>332</v>
      </c>
      <c r="D284" s="43"/>
      <c r="E284" s="49">
        <f>E285</f>
        <v>16845.739999999998</v>
      </c>
      <c r="F284" s="49"/>
      <c r="G284" s="72"/>
    </row>
    <row r="285" spans="1:6" ht="31.5">
      <c r="A285" s="50" t="s">
        <v>333</v>
      </c>
      <c r="B285" s="43" t="s">
        <v>331</v>
      </c>
      <c r="C285" s="43" t="s">
        <v>332</v>
      </c>
      <c r="D285" s="43"/>
      <c r="E285" s="49">
        <f>E286</f>
        <v>16845.739999999998</v>
      </c>
      <c r="F285" s="49"/>
    </row>
    <row r="286" spans="1:6" ht="31.5">
      <c r="A286" s="50" t="s">
        <v>260</v>
      </c>
      <c r="B286" s="43" t="s">
        <v>331</v>
      </c>
      <c r="C286" s="43" t="s">
        <v>332</v>
      </c>
      <c r="D286" s="40" t="s">
        <v>261</v>
      </c>
      <c r="E286" s="49">
        <f>E287</f>
        <v>16845.739999999998</v>
      </c>
      <c r="F286" s="49"/>
    </row>
    <row r="287" spans="1:6" ht="15.75">
      <c r="A287" s="50" t="s">
        <v>262</v>
      </c>
      <c r="B287" s="43" t="s">
        <v>331</v>
      </c>
      <c r="C287" s="43" t="s">
        <v>332</v>
      </c>
      <c r="D287" s="40" t="s">
        <v>263</v>
      </c>
      <c r="E287" s="49">
        <f>15035.6+1037.3+172.84+300+300</f>
        <v>16845.739999999998</v>
      </c>
      <c r="F287" s="49"/>
    </row>
    <row r="288" spans="1:6" ht="15.75">
      <c r="A288" s="50" t="s">
        <v>334</v>
      </c>
      <c r="B288" s="43" t="s">
        <v>335</v>
      </c>
      <c r="C288" s="43"/>
      <c r="D288" s="40"/>
      <c r="E288" s="49">
        <f>E289+E294</f>
        <v>82626.79000000001</v>
      </c>
      <c r="F288" s="49">
        <f>53333.3+0.1</f>
        <v>53333.4</v>
      </c>
    </row>
    <row r="289" spans="1:6" ht="15.75">
      <c r="A289" s="50" t="s">
        <v>336</v>
      </c>
      <c r="B289" s="43" t="s">
        <v>335</v>
      </c>
      <c r="C289" s="43" t="s">
        <v>329</v>
      </c>
      <c r="D289" s="40"/>
      <c r="E289" s="49">
        <f>E291</f>
        <v>66330.1</v>
      </c>
      <c r="F289" s="49"/>
    </row>
    <row r="290" spans="1:6" ht="15.75">
      <c r="A290" s="50" t="s">
        <v>337</v>
      </c>
      <c r="B290" s="43" t="s">
        <v>335</v>
      </c>
      <c r="C290" s="43" t="s">
        <v>338</v>
      </c>
      <c r="D290" s="40"/>
      <c r="E290" s="49">
        <f>E291</f>
        <v>66330.1</v>
      </c>
      <c r="F290" s="49"/>
    </row>
    <row r="291" spans="1:6" ht="31.5" customHeight="1">
      <c r="A291" s="50" t="s">
        <v>339</v>
      </c>
      <c r="B291" s="43" t="s">
        <v>335</v>
      </c>
      <c r="C291" s="43" t="s">
        <v>340</v>
      </c>
      <c r="D291" s="40"/>
      <c r="E291" s="49">
        <f>E292</f>
        <v>66330.1</v>
      </c>
      <c r="F291" s="49"/>
    </row>
    <row r="292" spans="1:6" ht="15.75">
      <c r="A292" s="15" t="s">
        <v>106</v>
      </c>
      <c r="B292" s="43" t="s">
        <v>335</v>
      </c>
      <c r="C292" s="43" t="s">
        <v>340</v>
      </c>
      <c r="D292" s="40" t="s">
        <v>107</v>
      </c>
      <c r="E292" s="49">
        <f>E293</f>
        <v>66330.1</v>
      </c>
      <c r="F292" s="49"/>
    </row>
    <row r="293" spans="1:6" ht="31.5">
      <c r="A293" s="15" t="s">
        <v>108</v>
      </c>
      <c r="B293" s="43" t="s">
        <v>335</v>
      </c>
      <c r="C293" s="43" t="s">
        <v>340</v>
      </c>
      <c r="D293" s="40" t="s">
        <v>109</v>
      </c>
      <c r="E293" s="49">
        <f>53333.3+0.1+12996.7</f>
        <v>66330.1</v>
      </c>
      <c r="F293" s="49"/>
    </row>
    <row r="294" spans="1:6" ht="31.5">
      <c r="A294" s="15" t="s">
        <v>341</v>
      </c>
      <c r="B294" s="43" t="s">
        <v>335</v>
      </c>
      <c r="C294" s="43" t="s">
        <v>342</v>
      </c>
      <c r="D294" s="40"/>
      <c r="E294" s="49">
        <f>E295</f>
        <v>16296.69</v>
      </c>
      <c r="F294" s="49"/>
    </row>
    <row r="295" spans="1:6" ht="15.75">
      <c r="A295" s="15" t="s">
        <v>106</v>
      </c>
      <c r="B295" s="43" t="s">
        <v>335</v>
      </c>
      <c r="C295" s="43" t="s">
        <v>342</v>
      </c>
      <c r="D295" s="40" t="s">
        <v>107</v>
      </c>
      <c r="E295" s="49">
        <f>E296</f>
        <v>16296.69</v>
      </c>
      <c r="F295" s="49"/>
    </row>
    <row r="296" spans="1:6" ht="31.5">
      <c r="A296" s="15" t="s">
        <v>108</v>
      </c>
      <c r="B296" s="43" t="s">
        <v>335</v>
      </c>
      <c r="C296" s="43" t="s">
        <v>342</v>
      </c>
      <c r="D296" s="40" t="s">
        <v>109</v>
      </c>
      <c r="E296" s="49">
        <f>14964.69+1332</f>
        <v>16296.69</v>
      </c>
      <c r="F296" s="49"/>
    </row>
    <row r="297" spans="1:6" ht="15.75">
      <c r="A297" s="70" t="s">
        <v>343</v>
      </c>
      <c r="B297" s="31" t="s">
        <v>344</v>
      </c>
      <c r="C297" s="32"/>
      <c r="D297" s="32"/>
      <c r="E297" s="51">
        <f aca="true" t="shared" si="1" ref="E297:E302">E298</f>
        <v>1478</v>
      </c>
      <c r="F297" s="51">
        <v>0</v>
      </c>
    </row>
    <row r="298" spans="1:6" ht="15.75">
      <c r="A298" s="68" t="s">
        <v>149</v>
      </c>
      <c r="B298" s="40" t="s">
        <v>345</v>
      </c>
      <c r="C298" s="43" t="s">
        <v>317</v>
      </c>
      <c r="D298" s="32"/>
      <c r="E298" s="13">
        <f t="shared" si="1"/>
        <v>1478</v>
      </c>
      <c r="F298" s="13"/>
    </row>
    <row r="299" spans="1:6" ht="15.75">
      <c r="A299" s="46" t="s">
        <v>346</v>
      </c>
      <c r="B299" s="40" t="s">
        <v>345</v>
      </c>
      <c r="C299" s="43" t="s">
        <v>317</v>
      </c>
      <c r="D299" s="40"/>
      <c r="E299" s="41">
        <f t="shared" si="1"/>
        <v>1478</v>
      </c>
      <c r="F299" s="41"/>
    </row>
    <row r="300" spans="1:6" ht="31.5">
      <c r="A300" s="18" t="s">
        <v>347</v>
      </c>
      <c r="B300" s="40" t="s">
        <v>345</v>
      </c>
      <c r="C300" s="43" t="s">
        <v>348</v>
      </c>
      <c r="D300" s="40"/>
      <c r="E300" s="41">
        <f t="shared" si="1"/>
        <v>1478</v>
      </c>
      <c r="F300" s="41"/>
    </row>
    <row r="301" spans="1:6" ht="47.25">
      <c r="A301" s="18" t="s">
        <v>349</v>
      </c>
      <c r="B301" s="40" t="s">
        <v>345</v>
      </c>
      <c r="C301" s="43" t="s">
        <v>348</v>
      </c>
      <c r="D301" s="40"/>
      <c r="E301" s="41">
        <f t="shared" si="1"/>
        <v>1478</v>
      </c>
      <c r="F301" s="41"/>
    </row>
    <row r="302" spans="1:6" ht="15.75">
      <c r="A302" s="15" t="s">
        <v>106</v>
      </c>
      <c r="B302" s="40" t="s">
        <v>345</v>
      </c>
      <c r="C302" s="43" t="s">
        <v>348</v>
      </c>
      <c r="D302" s="40" t="s">
        <v>107</v>
      </c>
      <c r="E302" s="41">
        <f t="shared" si="1"/>
        <v>1478</v>
      </c>
      <c r="F302" s="41"/>
    </row>
    <row r="303" spans="1:6" ht="31.5">
      <c r="A303" s="15" t="s">
        <v>108</v>
      </c>
      <c r="B303" s="40" t="s">
        <v>345</v>
      </c>
      <c r="C303" s="43" t="s">
        <v>348</v>
      </c>
      <c r="D303" s="40" t="s">
        <v>109</v>
      </c>
      <c r="E303" s="41">
        <f>1000+380+98</f>
        <v>1478</v>
      </c>
      <c r="F303" s="41"/>
    </row>
    <row r="304" spans="1:7" s="75" customFormat="1" ht="15.75">
      <c r="A304" s="70" t="s">
        <v>350</v>
      </c>
      <c r="B304" s="31" t="s">
        <v>351</v>
      </c>
      <c r="C304" s="36" t="s">
        <v>352</v>
      </c>
      <c r="D304" s="31"/>
      <c r="E304" s="71">
        <f>E305</f>
        <v>2240</v>
      </c>
      <c r="F304" s="71"/>
      <c r="G304" s="74"/>
    </row>
    <row r="305" spans="1:7" s="78" customFormat="1" ht="30">
      <c r="A305" s="76" t="s">
        <v>353</v>
      </c>
      <c r="B305" s="43" t="s">
        <v>351</v>
      </c>
      <c r="C305" s="40" t="s">
        <v>352</v>
      </c>
      <c r="D305" s="43"/>
      <c r="E305" s="49">
        <f>E306</f>
        <v>2240</v>
      </c>
      <c r="F305" s="49"/>
      <c r="G305" s="77"/>
    </row>
    <row r="306" spans="1:6" ht="15.75">
      <c r="A306" s="76" t="s">
        <v>354</v>
      </c>
      <c r="B306" s="43" t="s">
        <v>351</v>
      </c>
      <c r="C306" s="40" t="s">
        <v>352</v>
      </c>
      <c r="D306" s="43" t="s">
        <v>355</v>
      </c>
      <c r="E306" s="49">
        <f>E307</f>
        <v>2240</v>
      </c>
      <c r="F306" s="49"/>
    </row>
    <row r="307" spans="1:6" ht="15.75">
      <c r="A307" s="79" t="s">
        <v>356</v>
      </c>
      <c r="B307" s="43" t="s">
        <v>351</v>
      </c>
      <c r="C307" s="40" t="s">
        <v>352</v>
      </c>
      <c r="D307" s="43" t="s">
        <v>357</v>
      </c>
      <c r="E307" s="49">
        <f>990+1250</f>
        <v>2240</v>
      </c>
      <c r="F307" s="49"/>
    </row>
    <row r="308" spans="1:7" ht="15.75">
      <c r="A308" s="80" t="s">
        <v>358</v>
      </c>
      <c r="B308" s="69"/>
      <c r="C308" s="69"/>
      <c r="D308" s="69"/>
      <c r="E308" s="235">
        <f>E304+E297+E281+E274+E260+E256+E157+E120+E106+E97+E18</f>
        <v>513098.14905999997</v>
      </c>
      <c r="F308" s="13">
        <f>F304+F297+F281+F274+F260+F256+F157+F120+F106+F97+F18</f>
        <v>148378.84706</v>
      </c>
      <c r="G308" s="25">
        <f>SUM(G18:G307)</f>
        <v>-71.36</v>
      </c>
    </row>
    <row r="309" spans="3:5" ht="15.75">
      <c r="C309" s="81"/>
      <c r="E309" s="28"/>
    </row>
  </sheetData>
  <sheetProtection selectLockedCells="1" selectUnlockedCells="1"/>
  <mergeCells count="5">
    <mergeCell ref="F16:F17"/>
    <mergeCell ref="A14:E14"/>
    <mergeCell ref="A16:A17"/>
    <mergeCell ref="B16:D16"/>
    <mergeCell ref="E16:E17"/>
  </mergeCells>
  <printOptions horizontalCentered="1"/>
  <pageMargins left="1.3779527559055118" right="0.3937007874015748" top="0.7874015748031497" bottom="0.7874015748031497" header="0.5118110236220472" footer="0.5118110236220472"/>
  <pageSetup fitToHeight="8" fitToWidth="1" horizontalDpi="300" verticalDpi="300" orientation="portrait" paperSize="9" scale="70" r:id="rId1"/>
  <headerFooter alignWithMargins="0">
    <oddFooter>&amp;L197/мз</oddFooter>
  </headerFooter>
  <rowBreaks count="6" manualBreakCount="6">
    <brk id="42" max="6" man="1"/>
    <brk id="85" max="6" man="1"/>
    <brk id="122" max="6" man="1"/>
    <brk id="177" max="6" man="1"/>
    <brk id="223" max="255" man="1"/>
    <brk id="2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27"/>
  <sheetViews>
    <sheetView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67.625" style="9" customWidth="1"/>
    <col min="2" max="2" width="4.625" style="9" customWidth="1"/>
    <col min="3" max="3" width="4.125" style="9" customWidth="1"/>
    <col min="4" max="4" width="3.625" style="9" customWidth="1"/>
    <col min="5" max="5" width="14.125" style="9" customWidth="1"/>
    <col min="6" max="6" width="4.875" style="9" customWidth="1"/>
    <col min="7" max="7" width="13.875" style="10" customWidth="1"/>
    <col min="8" max="8" width="13.625" style="9" customWidth="1"/>
    <col min="9" max="16" width="9.625" style="9" customWidth="1"/>
    <col min="17" max="17" width="10.375" style="9" customWidth="1"/>
    <col min="18" max="16384" width="9.125" style="9" customWidth="1"/>
  </cols>
  <sheetData>
    <row r="1" spans="3:6" ht="15.75">
      <c r="C1" s="26" t="s">
        <v>576</v>
      </c>
      <c r="D1" s="23"/>
      <c r="E1" s="27"/>
      <c r="F1" s="28"/>
    </row>
    <row r="2" spans="3:6" ht="15.75">
      <c r="C2" s="26" t="s">
        <v>588</v>
      </c>
      <c r="D2" s="23"/>
      <c r="E2" s="27"/>
      <c r="F2" s="28"/>
    </row>
    <row r="3" spans="3:6" ht="15.75">
      <c r="C3" s="26" t="s">
        <v>589</v>
      </c>
      <c r="D3" s="23"/>
      <c r="E3" s="27"/>
      <c r="F3" s="28"/>
    </row>
    <row r="4" spans="3:6" ht="15.75">
      <c r="C4" s="26" t="s">
        <v>590</v>
      </c>
      <c r="D4" s="23"/>
      <c r="E4" s="23"/>
      <c r="F4" s="28"/>
    </row>
    <row r="5" spans="3:6" ht="15.75">
      <c r="C5" s="26" t="s">
        <v>734</v>
      </c>
      <c r="D5" s="23"/>
      <c r="E5" s="27"/>
      <c r="F5" s="28"/>
    </row>
    <row r="6" spans="3:6" ht="15.75">
      <c r="C6" s="26"/>
      <c r="D6" s="23"/>
      <c r="E6" s="27"/>
      <c r="F6" s="28"/>
    </row>
    <row r="7" spans="3:5" ht="15.75">
      <c r="C7" s="26" t="s">
        <v>359</v>
      </c>
      <c r="D7" s="23"/>
      <c r="E7" s="27"/>
    </row>
    <row r="8" spans="3:5" ht="15.75">
      <c r="C8" s="26" t="s">
        <v>70</v>
      </c>
      <c r="D8" s="23"/>
      <c r="E8" s="27"/>
    </row>
    <row r="9" spans="3:5" ht="15.75">
      <c r="C9" s="26" t="s">
        <v>71</v>
      </c>
      <c r="D9" s="23"/>
      <c r="E9" s="27"/>
    </row>
    <row r="10" spans="3:5" ht="15.75">
      <c r="C10" s="26" t="s">
        <v>72</v>
      </c>
      <c r="D10" s="23"/>
      <c r="E10" s="23"/>
    </row>
    <row r="11" spans="3:5" ht="15.75">
      <c r="C11" s="26" t="s">
        <v>73</v>
      </c>
      <c r="D11" s="23"/>
      <c r="E11" s="23"/>
    </row>
    <row r="12" spans="3:5" ht="15.75">
      <c r="C12" s="26" t="s">
        <v>360</v>
      </c>
      <c r="D12" s="23"/>
      <c r="E12" s="27"/>
    </row>
    <row r="13" spans="1:7" ht="34.5" customHeight="1">
      <c r="A13" s="245" t="s">
        <v>361</v>
      </c>
      <c r="B13" s="245"/>
      <c r="C13" s="245"/>
      <c r="D13" s="245"/>
      <c r="E13" s="245"/>
      <c r="F13" s="245"/>
      <c r="G13" s="245"/>
    </row>
    <row r="14" ht="30.75" customHeight="1">
      <c r="G14" s="10" t="s">
        <v>76</v>
      </c>
    </row>
    <row r="15" spans="1:7" s="11" customFormat="1" ht="31.5">
      <c r="A15" s="7" t="s">
        <v>77</v>
      </c>
      <c r="B15" s="7" t="s">
        <v>78</v>
      </c>
      <c r="C15" s="7" t="s">
        <v>362</v>
      </c>
      <c r="D15" s="7" t="s">
        <v>363</v>
      </c>
      <c r="E15" s="7" t="s">
        <v>82</v>
      </c>
      <c r="F15" s="7" t="s">
        <v>83</v>
      </c>
      <c r="G15" s="8" t="s">
        <v>68</v>
      </c>
    </row>
    <row r="16" spans="1:7" s="11" customFormat="1" ht="31.5">
      <c r="A16" s="30" t="s">
        <v>364</v>
      </c>
      <c r="B16" s="82" t="s">
        <v>365</v>
      </c>
      <c r="C16" s="82"/>
      <c r="D16" s="82"/>
      <c r="E16" s="82"/>
      <c r="F16" s="82"/>
      <c r="G16" s="83">
        <f>G17+G64+G74+G88+G125+G215+G219+G233+G239+G254+G261</f>
        <v>485509.95006</v>
      </c>
    </row>
    <row r="17" spans="1:8" s="64" customFormat="1" ht="15.75">
      <c r="A17" s="30" t="s">
        <v>84</v>
      </c>
      <c r="B17" s="14" t="s">
        <v>365</v>
      </c>
      <c r="C17" s="14" t="s">
        <v>366</v>
      </c>
      <c r="D17" s="82"/>
      <c r="E17" s="82"/>
      <c r="F17" s="82"/>
      <c r="G17" s="84">
        <f>G18+G23+G43+G53+G39</f>
        <v>42846.96226</v>
      </c>
      <c r="H17" s="63"/>
    </row>
    <row r="18" spans="1:7" s="11" customFormat="1" ht="31.5">
      <c r="A18" s="30" t="s">
        <v>86</v>
      </c>
      <c r="B18" s="14" t="s">
        <v>365</v>
      </c>
      <c r="C18" s="14" t="s">
        <v>366</v>
      </c>
      <c r="D18" s="1" t="s">
        <v>367</v>
      </c>
      <c r="E18" s="16"/>
      <c r="F18" s="16"/>
      <c r="G18" s="71">
        <f>G19</f>
        <v>1801</v>
      </c>
    </row>
    <row r="19" spans="1:7" s="11" customFormat="1" ht="47.25">
      <c r="A19" s="39" t="s">
        <v>88</v>
      </c>
      <c r="B19" s="14" t="s">
        <v>365</v>
      </c>
      <c r="C19" s="14" t="s">
        <v>366</v>
      </c>
      <c r="D19" s="1" t="s">
        <v>367</v>
      </c>
      <c r="E19" s="40" t="s">
        <v>89</v>
      </c>
      <c r="F19" s="14"/>
      <c r="G19" s="49">
        <f>G20</f>
        <v>1801</v>
      </c>
    </row>
    <row r="20" spans="1:7" s="11" customFormat="1" ht="15.75">
      <c r="A20" s="39" t="s">
        <v>90</v>
      </c>
      <c r="B20" s="14" t="s">
        <v>365</v>
      </c>
      <c r="C20" s="14" t="s">
        <v>366</v>
      </c>
      <c r="D20" s="1" t="s">
        <v>367</v>
      </c>
      <c r="E20" s="40" t="s">
        <v>91</v>
      </c>
      <c r="F20" s="14"/>
      <c r="G20" s="49">
        <f>G22</f>
        <v>1801</v>
      </c>
    </row>
    <row r="21" spans="1:7" s="11" customFormat="1" ht="60.75" customHeight="1">
      <c r="A21" s="39" t="s">
        <v>92</v>
      </c>
      <c r="B21" s="14" t="s">
        <v>365</v>
      </c>
      <c r="C21" s="14" t="s">
        <v>366</v>
      </c>
      <c r="D21" s="1" t="s">
        <v>367</v>
      </c>
      <c r="E21" s="40" t="s">
        <v>91</v>
      </c>
      <c r="F21" s="14" t="s">
        <v>93</v>
      </c>
      <c r="G21" s="49">
        <f>G22</f>
        <v>1801</v>
      </c>
    </row>
    <row r="22" spans="1:7" s="11" customFormat="1" ht="15.75">
      <c r="A22" s="39" t="s">
        <v>94</v>
      </c>
      <c r="B22" s="14" t="s">
        <v>365</v>
      </c>
      <c r="C22" s="14" t="s">
        <v>366</v>
      </c>
      <c r="D22" s="14" t="s">
        <v>367</v>
      </c>
      <c r="E22" s="40" t="s">
        <v>91</v>
      </c>
      <c r="F22" s="14" t="s">
        <v>95</v>
      </c>
      <c r="G22" s="49">
        <f>1364+437</f>
        <v>1801</v>
      </c>
    </row>
    <row r="23" spans="1:7" s="11" customFormat="1" ht="47.25">
      <c r="A23" s="44" t="s">
        <v>114</v>
      </c>
      <c r="B23" s="14" t="s">
        <v>365</v>
      </c>
      <c r="C23" s="14" t="s">
        <v>366</v>
      </c>
      <c r="D23" s="14" t="s">
        <v>368</v>
      </c>
      <c r="E23" s="31"/>
      <c r="F23" s="16"/>
      <c r="G23" s="71">
        <f>G24</f>
        <v>25044</v>
      </c>
    </row>
    <row r="24" spans="1:7" s="38" customFormat="1" ht="47.25">
      <c r="A24" s="39" t="s">
        <v>88</v>
      </c>
      <c r="B24" s="14" t="s">
        <v>365</v>
      </c>
      <c r="C24" s="14" t="s">
        <v>366</v>
      </c>
      <c r="D24" s="14" t="s">
        <v>368</v>
      </c>
      <c r="E24" s="40" t="s">
        <v>101</v>
      </c>
      <c r="F24" s="14"/>
      <c r="G24" s="49">
        <f>G25</f>
        <v>25044</v>
      </c>
    </row>
    <row r="25" spans="1:7" s="38" customFormat="1" ht="15.75">
      <c r="A25" s="42" t="s">
        <v>100</v>
      </c>
      <c r="B25" s="14" t="s">
        <v>365</v>
      </c>
      <c r="C25" s="14" t="s">
        <v>366</v>
      </c>
      <c r="D25" s="14" t="s">
        <v>368</v>
      </c>
      <c r="E25" s="40" t="s">
        <v>101</v>
      </c>
      <c r="F25" s="14"/>
      <c r="G25" s="49">
        <f>G26+G29+G32</f>
        <v>25044</v>
      </c>
    </row>
    <row r="26" spans="1:7" s="38" customFormat="1" ht="31.5">
      <c r="A26" s="39" t="s">
        <v>116</v>
      </c>
      <c r="B26" s="14" t="s">
        <v>365</v>
      </c>
      <c r="C26" s="14" t="s">
        <v>366</v>
      </c>
      <c r="D26" s="14" t="s">
        <v>368</v>
      </c>
      <c r="E26" s="43" t="s">
        <v>117</v>
      </c>
      <c r="F26" s="14"/>
      <c r="G26" s="49">
        <f>G28</f>
        <v>8178.2</v>
      </c>
    </row>
    <row r="27" spans="1:7" s="38" customFormat="1" ht="45.75" customHeight="1">
      <c r="A27" s="39" t="s">
        <v>92</v>
      </c>
      <c r="B27" s="14" t="s">
        <v>365</v>
      </c>
      <c r="C27" s="14" t="s">
        <v>366</v>
      </c>
      <c r="D27" s="14" t="s">
        <v>368</v>
      </c>
      <c r="E27" s="43" t="s">
        <v>117</v>
      </c>
      <c r="F27" s="14" t="s">
        <v>93</v>
      </c>
      <c r="G27" s="49">
        <f>G28</f>
        <v>8178.2</v>
      </c>
    </row>
    <row r="28" spans="1:7" s="38" customFormat="1" ht="31.5">
      <c r="A28" s="39" t="s">
        <v>94</v>
      </c>
      <c r="B28" s="14" t="s">
        <v>365</v>
      </c>
      <c r="C28" s="14" t="s">
        <v>366</v>
      </c>
      <c r="D28" s="14" t="s">
        <v>368</v>
      </c>
      <c r="E28" s="43" t="s">
        <v>117</v>
      </c>
      <c r="F28" s="14" t="s">
        <v>95</v>
      </c>
      <c r="G28" s="49">
        <f>5861+330.2+226+1761</f>
        <v>8178.2</v>
      </c>
    </row>
    <row r="29" spans="1:7" s="38" customFormat="1" ht="31.5">
      <c r="A29" s="39" t="s">
        <v>102</v>
      </c>
      <c r="B29" s="14" t="s">
        <v>365</v>
      </c>
      <c r="C29" s="14" t="s">
        <v>366</v>
      </c>
      <c r="D29" s="14" t="s">
        <v>368</v>
      </c>
      <c r="E29" s="43" t="s">
        <v>103</v>
      </c>
      <c r="F29" s="14"/>
      <c r="G29" s="49">
        <f>G30</f>
        <v>11056.8</v>
      </c>
    </row>
    <row r="30" spans="1:7" s="38" customFormat="1" ht="63">
      <c r="A30" s="39" t="s">
        <v>92</v>
      </c>
      <c r="B30" s="14" t="s">
        <v>365</v>
      </c>
      <c r="C30" s="14" t="s">
        <v>366</v>
      </c>
      <c r="D30" s="14" t="s">
        <v>368</v>
      </c>
      <c r="E30" s="43" t="s">
        <v>103</v>
      </c>
      <c r="F30" s="14" t="s">
        <v>93</v>
      </c>
      <c r="G30" s="49">
        <f>G31</f>
        <v>11056.8</v>
      </c>
    </row>
    <row r="31" spans="1:7" s="38" customFormat="1" ht="31.5">
      <c r="A31" s="39" t="s">
        <v>94</v>
      </c>
      <c r="B31" s="14" t="s">
        <v>365</v>
      </c>
      <c r="C31" s="14" t="s">
        <v>366</v>
      </c>
      <c r="D31" s="14" t="s">
        <v>368</v>
      </c>
      <c r="E31" s="43" t="s">
        <v>103</v>
      </c>
      <c r="F31" s="14" t="s">
        <v>95</v>
      </c>
      <c r="G31" s="49">
        <f>5998-330.2+2000+340+3049</f>
        <v>11056.8</v>
      </c>
    </row>
    <row r="32" spans="1:7" s="38" customFormat="1" ht="19.5" customHeight="1">
      <c r="A32" s="39" t="s">
        <v>104</v>
      </c>
      <c r="B32" s="14" t="s">
        <v>365</v>
      </c>
      <c r="C32" s="14" t="s">
        <v>366</v>
      </c>
      <c r="D32" s="14" t="s">
        <v>368</v>
      </c>
      <c r="E32" s="43" t="s">
        <v>105</v>
      </c>
      <c r="F32" s="14"/>
      <c r="G32" s="49">
        <f>G33+G35+G37</f>
        <v>5809</v>
      </c>
    </row>
    <row r="33" spans="1:7" s="38" customFormat="1" ht="46.5" customHeight="1">
      <c r="A33" s="39" t="s">
        <v>92</v>
      </c>
      <c r="B33" s="14" t="s">
        <v>365</v>
      </c>
      <c r="C33" s="14" t="s">
        <v>366</v>
      </c>
      <c r="D33" s="14" t="s">
        <v>368</v>
      </c>
      <c r="E33" s="43" t="s">
        <v>105</v>
      </c>
      <c r="F33" s="14" t="s">
        <v>93</v>
      </c>
      <c r="G33" s="49">
        <f>G34</f>
        <v>22</v>
      </c>
    </row>
    <row r="34" spans="1:7" s="38" customFormat="1" ht="31.5">
      <c r="A34" s="39" t="s">
        <v>94</v>
      </c>
      <c r="B34" s="14" t="s">
        <v>365</v>
      </c>
      <c r="C34" s="14" t="s">
        <v>366</v>
      </c>
      <c r="D34" s="14" t="s">
        <v>368</v>
      </c>
      <c r="E34" s="43" t="s">
        <v>105</v>
      </c>
      <c r="F34" s="14" t="s">
        <v>95</v>
      </c>
      <c r="G34" s="49">
        <v>22</v>
      </c>
    </row>
    <row r="35" spans="1:7" s="38" customFormat="1" ht="31.5">
      <c r="A35" s="39" t="s">
        <v>106</v>
      </c>
      <c r="B35" s="14" t="s">
        <v>365</v>
      </c>
      <c r="C35" s="14" t="s">
        <v>366</v>
      </c>
      <c r="D35" s="14" t="s">
        <v>368</v>
      </c>
      <c r="E35" s="43" t="s">
        <v>105</v>
      </c>
      <c r="F35" s="14" t="s">
        <v>107</v>
      </c>
      <c r="G35" s="49">
        <f>G36</f>
        <v>5692</v>
      </c>
    </row>
    <row r="36" spans="1:7" s="38" customFormat="1" ht="18.75" customHeight="1">
      <c r="A36" s="39" t="s">
        <v>108</v>
      </c>
      <c r="B36" s="14" t="s">
        <v>365</v>
      </c>
      <c r="C36" s="14" t="s">
        <v>366</v>
      </c>
      <c r="D36" s="14" t="s">
        <v>368</v>
      </c>
      <c r="E36" s="43" t="s">
        <v>105</v>
      </c>
      <c r="F36" s="14" t="s">
        <v>109</v>
      </c>
      <c r="G36" s="49">
        <f>4207-15+1500</f>
        <v>5692</v>
      </c>
    </row>
    <row r="37" spans="1:7" s="38" customFormat="1" ht="31.5">
      <c r="A37" s="39" t="s">
        <v>110</v>
      </c>
      <c r="B37" s="14" t="s">
        <v>365</v>
      </c>
      <c r="C37" s="14" t="s">
        <v>366</v>
      </c>
      <c r="D37" s="14" t="s">
        <v>368</v>
      </c>
      <c r="E37" s="43" t="s">
        <v>105</v>
      </c>
      <c r="F37" s="14" t="s">
        <v>111</v>
      </c>
      <c r="G37" s="49">
        <f>G38</f>
        <v>95</v>
      </c>
    </row>
    <row r="38" spans="1:7" s="38" customFormat="1" ht="31.5">
      <c r="A38" s="39" t="s">
        <v>112</v>
      </c>
      <c r="B38" s="14" t="s">
        <v>365</v>
      </c>
      <c r="C38" s="14" t="s">
        <v>366</v>
      </c>
      <c r="D38" s="14" t="s">
        <v>368</v>
      </c>
      <c r="E38" s="43" t="s">
        <v>105</v>
      </c>
      <c r="F38" s="14" t="s">
        <v>113</v>
      </c>
      <c r="G38" s="49">
        <f>80+15</f>
        <v>95</v>
      </c>
    </row>
    <row r="39" spans="1:7" s="38" customFormat="1" ht="15.75">
      <c r="A39" s="30" t="s">
        <v>122</v>
      </c>
      <c r="B39" s="14" t="s">
        <v>365</v>
      </c>
      <c r="C39" s="14" t="s">
        <v>366</v>
      </c>
      <c r="D39" s="14" t="s">
        <v>369</v>
      </c>
      <c r="E39" s="40"/>
      <c r="F39" s="43"/>
      <c r="G39" s="41">
        <f>G40</f>
        <v>712</v>
      </c>
    </row>
    <row r="40" spans="1:7" s="38" customFormat="1" ht="15.75">
      <c r="A40" s="39" t="s">
        <v>125</v>
      </c>
      <c r="B40" s="14" t="s">
        <v>365</v>
      </c>
      <c r="C40" s="14" t="s">
        <v>366</v>
      </c>
      <c r="D40" s="14" t="s">
        <v>369</v>
      </c>
      <c r="E40" s="40" t="s">
        <v>124</v>
      </c>
      <c r="F40" s="43"/>
      <c r="G40" s="41">
        <f>G41</f>
        <v>712</v>
      </c>
    </row>
    <row r="41" spans="1:7" s="38" customFormat="1" ht="15.75">
      <c r="A41" s="39" t="s">
        <v>110</v>
      </c>
      <c r="B41" s="14" t="s">
        <v>365</v>
      </c>
      <c r="C41" s="14" t="s">
        <v>366</v>
      </c>
      <c r="D41" s="14" t="s">
        <v>369</v>
      </c>
      <c r="E41" s="40" t="s">
        <v>124</v>
      </c>
      <c r="F41" s="43" t="s">
        <v>111</v>
      </c>
      <c r="G41" s="41">
        <f>G42</f>
        <v>712</v>
      </c>
    </row>
    <row r="42" spans="1:7" s="38" customFormat="1" ht="15.75">
      <c r="A42" s="39" t="s">
        <v>126</v>
      </c>
      <c r="B42" s="14" t="s">
        <v>365</v>
      </c>
      <c r="C42" s="14" t="s">
        <v>366</v>
      </c>
      <c r="D42" s="14" t="s">
        <v>369</v>
      </c>
      <c r="E42" s="40" t="s">
        <v>124</v>
      </c>
      <c r="F42" s="43" t="s">
        <v>127</v>
      </c>
      <c r="G42" s="41">
        <v>712</v>
      </c>
    </row>
    <row r="43" spans="1:7" s="38" customFormat="1" ht="15.75">
      <c r="A43" s="44" t="s">
        <v>128</v>
      </c>
      <c r="B43" s="14" t="s">
        <v>365</v>
      </c>
      <c r="C43" s="14" t="s">
        <v>366</v>
      </c>
      <c r="D43" s="14" t="s">
        <v>370</v>
      </c>
      <c r="E43" s="31"/>
      <c r="F43" s="16"/>
      <c r="G43" s="13">
        <f>G44+G49</f>
        <v>5276.162259999999</v>
      </c>
    </row>
    <row r="44" spans="1:7" s="38" customFormat="1" ht="31.5">
      <c r="A44" s="46" t="s">
        <v>128</v>
      </c>
      <c r="B44" s="14" t="s">
        <v>365</v>
      </c>
      <c r="C44" s="14" t="s">
        <v>366</v>
      </c>
      <c r="D44" s="14" t="s">
        <v>370</v>
      </c>
      <c r="E44" s="43" t="s">
        <v>131</v>
      </c>
      <c r="F44" s="14"/>
      <c r="G44" s="41">
        <f>G45</f>
        <v>4776.162259999999</v>
      </c>
    </row>
    <row r="45" spans="1:7" s="38" customFormat="1" ht="31.5">
      <c r="A45" s="18" t="s">
        <v>130</v>
      </c>
      <c r="B45" s="14" t="s">
        <v>365</v>
      </c>
      <c r="C45" s="14" t="s">
        <v>366</v>
      </c>
      <c r="D45" s="14" t="s">
        <v>370</v>
      </c>
      <c r="E45" s="43" t="s">
        <v>131</v>
      </c>
      <c r="F45" s="14"/>
      <c r="G45" s="41">
        <f>G46</f>
        <v>4776.162259999999</v>
      </c>
    </row>
    <row r="46" spans="1:7" s="38" customFormat="1" ht="31.5">
      <c r="A46" s="42" t="s">
        <v>132</v>
      </c>
      <c r="B46" s="14" t="s">
        <v>365</v>
      </c>
      <c r="C46" s="14" t="s">
        <v>366</v>
      </c>
      <c r="D46" s="14" t="s">
        <v>370</v>
      </c>
      <c r="E46" s="43" t="s">
        <v>131</v>
      </c>
      <c r="F46" s="14"/>
      <c r="G46" s="41">
        <f>G47</f>
        <v>4776.162259999999</v>
      </c>
    </row>
    <row r="47" spans="1:7" s="38" customFormat="1" ht="31.5">
      <c r="A47" s="39" t="s">
        <v>110</v>
      </c>
      <c r="B47" s="14" t="s">
        <v>365</v>
      </c>
      <c r="C47" s="14" t="s">
        <v>366</v>
      </c>
      <c r="D47" s="14" t="s">
        <v>370</v>
      </c>
      <c r="E47" s="43" t="s">
        <v>131</v>
      </c>
      <c r="F47" s="14" t="s">
        <v>111</v>
      </c>
      <c r="G47" s="41">
        <f>G48</f>
        <v>4776.162259999999</v>
      </c>
    </row>
    <row r="48" spans="1:7" s="38" customFormat="1" ht="31.5">
      <c r="A48" s="42" t="s">
        <v>133</v>
      </c>
      <c r="B48" s="14" t="s">
        <v>365</v>
      </c>
      <c r="C48" s="14" t="s">
        <v>366</v>
      </c>
      <c r="D48" s="14" t="s">
        <v>370</v>
      </c>
      <c r="E48" s="43" t="s">
        <v>131</v>
      </c>
      <c r="F48" s="14" t="s">
        <v>134</v>
      </c>
      <c r="G48" s="41">
        <f>1000-450.13025+9000-42.08385-776.9306-3954.69304</f>
        <v>4776.162259999999</v>
      </c>
    </row>
    <row r="49" spans="1:7" s="38" customFormat="1" ht="37.5" customHeight="1">
      <c r="A49" s="48" t="s">
        <v>135</v>
      </c>
      <c r="B49" s="14" t="s">
        <v>365</v>
      </c>
      <c r="C49" s="14" t="s">
        <v>366</v>
      </c>
      <c r="D49" s="14"/>
      <c r="E49" s="40" t="s">
        <v>136</v>
      </c>
      <c r="F49" s="32"/>
      <c r="G49" s="41">
        <f>G50</f>
        <v>500</v>
      </c>
    </row>
    <row r="50" spans="1:7" s="38" customFormat="1" ht="42" customHeight="1">
      <c r="A50" s="48" t="s">
        <v>137</v>
      </c>
      <c r="B50" s="14" t="s">
        <v>365</v>
      </c>
      <c r="C50" s="14" t="s">
        <v>366</v>
      </c>
      <c r="D50" s="14" t="s">
        <v>370</v>
      </c>
      <c r="E50" s="40" t="s">
        <v>138</v>
      </c>
      <c r="G50" s="41">
        <f>G51</f>
        <v>500</v>
      </c>
    </row>
    <row r="51" spans="1:7" s="38" customFormat="1" ht="15.75">
      <c r="A51" s="39" t="s">
        <v>110</v>
      </c>
      <c r="B51" s="14" t="s">
        <v>365</v>
      </c>
      <c r="C51" s="14" t="s">
        <v>366</v>
      </c>
      <c r="D51" s="14" t="s">
        <v>370</v>
      </c>
      <c r="E51" s="40" t="s">
        <v>138</v>
      </c>
      <c r="F51" s="43" t="s">
        <v>111</v>
      </c>
      <c r="G51" s="41">
        <f>G52</f>
        <v>500</v>
      </c>
    </row>
    <row r="52" spans="1:7" s="38" customFormat="1" ht="15.75">
      <c r="A52" s="42" t="s">
        <v>133</v>
      </c>
      <c r="B52" s="14" t="s">
        <v>365</v>
      </c>
      <c r="C52" s="14" t="s">
        <v>366</v>
      </c>
      <c r="D52" s="14" t="s">
        <v>370</v>
      </c>
      <c r="E52" s="40" t="s">
        <v>138</v>
      </c>
      <c r="F52" s="43" t="s">
        <v>134</v>
      </c>
      <c r="G52" s="49">
        <v>500</v>
      </c>
    </row>
    <row r="53" spans="1:8" s="38" customFormat="1" ht="15.75">
      <c r="A53" s="44" t="s">
        <v>139</v>
      </c>
      <c r="B53" s="14" t="s">
        <v>365</v>
      </c>
      <c r="C53" s="14" t="s">
        <v>366</v>
      </c>
      <c r="D53" s="14" t="s">
        <v>371</v>
      </c>
      <c r="E53" s="31"/>
      <c r="F53" s="16"/>
      <c r="G53" s="13">
        <f>G54+G60</f>
        <v>10013.8</v>
      </c>
      <c r="H53" s="85"/>
    </row>
    <row r="54" spans="1:8" s="38" customFormat="1" ht="37.5" customHeight="1">
      <c r="A54" s="15" t="s">
        <v>141</v>
      </c>
      <c r="B54" s="14" t="s">
        <v>365</v>
      </c>
      <c r="C54" s="14" t="s">
        <v>366</v>
      </c>
      <c r="D54" s="14" t="s">
        <v>371</v>
      </c>
      <c r="E54" s="43" t="s">
        <v>142</v>
      </c>
      <c r="F54" s="14"/>
      <c r="G54" s="49">
        <f>G55</f>
        <v>9993.8</v>
      </c>
      <c r="H54" s="85"/>
    </row>
    <row r="55" spans="1:8" s="38" customFormat="1" ht="63">
      <c r="A55" s="15" t="s">
        <v>143</v>
      </c>
      <c r="B55" s="14" t="s">
        <v>365</v>
      </c>
      <c r="C55" s="14" t="s">
        <v>366</v>
      </c>
      <c r="D55" s="14" t="s">
        <v>371</v>
      </c>
      <c r="E55" s="43" t="s">
        <v>144</v>
      </c>
      <c r="F55" s="14"/>
      <c r="G55" s="49">
        <f>G56+G58</f>
        <v>9993.8</v>
      </c>
      <c r="H55" s="85"/>
    </row>
    <row r="56" spans="1:7" s="38" customFormat="1" ht="31.5">
      <c r="A56" s="50" t="s">
        <v>106</v>
      </c>
      <c r="B56" s="14" t="s">
        <v>365</v>
      </c>
      <c r="C56" s="14" t="s">
        <v>366</v>
      </c>
      <c r="D56" s="14" t="s">
        <v>371</v>
      </c>
      <c r="E56" s="43" t="s">
        <v>144</v>
      </c>
      <c r="F56" s="14" t="s">
        <v>107</v>
      </c>
      <c r="G56" s="49">
        <f>G57</f>
        <v>4630</v>
      </c>
    </row>
    <row r="57" spans="1:7" s="38" customFormat="1" ht="31.5">
      <c r="A57" s="50" t="s">
        <v>108</v>
      </c>
      <c r="B57" s="14" t="s">
        <v>365</v>
      </c>
      <c r="C57" s="14" t="s">
        <v>366</v>
      </c>
      <c r="D57" s="14" t="s">
        <v>371</v>
      </c>
      <c r="E57" s="43" t="s">
        <v>144</v>
      </c>
      <c r="F57" s="14" t="s">
        <v>109</v>
      </c>
      <c r="G57" s="49">
        <f>6150-2020+500</f>
        <v>4630</v>
      </c>
    </row>
    <row r="58" spans="1:7" s="38" customFormat="1" ht="31.5">
      <c r="A58" s="39" t="s">
        <v>110</v>
      </c>
      <c r="B58" s="14" t="s">
        <v>365</v>
      </c>
      <c r="C58" s="14" t="s">
        <v>366</v>
      </c>
      <c r="D58" s="14" t="s">
        <v>371</v>
      </c>
      <c r="E58" s="43" t="s">
        <v>144</v>
      </c>
      <c r="F58" s="14" t="s">
        <v>111</v>
      </c>
      <c r="G58" s="49">
        <f>G59</f>
        <v>5363.8</v>
      </c>
    </row>
    <row r="59" spans="1:7" s="38" customFormat="1" ht="31.5">
      <c r="A59" s="39" t="s">
        <v>112</v>
      </c>
      <c r="B59" s="14" t="s">
        <v>365</v>
      </c>
      <c r="C59" s="14" t="s">
        <v>366</v>
      </c>
      <c r="D59" s="14" t="s">
        <v>371</v>
      </c>
      <c r="E59" s="43" t="s">
        <v>144</v>
      </c>
      <c r="F59" s="14" t="s">
        <v>113</v>
      </c>
      <c r="G59" s="49">
        <f>2020+10000-3000-1676.2-300-380-300-1000</f>
        <v>5363.8</v>
      </c>
    </row>
    <row r="60" spans="1:7" s="38" customFormat="1" ht="31.5">
      <c r="A60" s="15" t="s">
        <v>145</v>
      </c>
      <c r="B60" s="14" t="s">
        <v>365</v>
      </c>
      <c r="C60" s="14" t="s">
        <v>366</v>
      </c>
      <c r="D60" s="14" t="s">
        <v>371</v>
      </c>
      <c r="E60" s="43" t="s">
        <v>146</v>
      </c>
      <c r="F60" s="43"/>
      <c r="G60" s="41">
        <f>G61</f>
        <v>20</v>
      </c>
    </row>
    <row r="61" spans="1:7" s="38" customFormat="1" ht="31.5">
      <c r="A61" s="15" t="s">
        <v>147</v>
      </c>
      <c r="B61" s="14" t="s">
        <v>365</v>
      </c>
      <c r="C61" s="14" t="s">
        <v>366</v>
      </c>
      <c r="D61" s="14" t="s">
        <v>371</v>
      </c>
      <c r="E61" s="43" t="s">
        <v>148</v>
      </c>
      <c r="F61" s="43"/>
      <c r="G61" s="41">
        <f>G62</f>
        <v>20</v>
      </c>
    </row>
    <row r="62" spans="1:7" s="38" customFormat="1" ht="31.5">
      <c r="A62" s="50" t="s">
        <v>106</v>
      </c>
      <c r="B62" s="14" t="s">
        <v>365</v>
      </c>
      <c r="C62" s="14" t="s">
        <v>366</v>
      </c>
      <c r="D62" s="14" t="s">
        <v>371</v>
      </c>
      <c r="E62" s="43" t="s">
        <v>148</v>
      </c>
      <c r="F62" s="43" t="s">
        <v>107</v>
      </c>
      <c r="G62" s="41">
        <f>G63</f>
        <v>20</v>
      </c>
    </row>
    <row r="63" spans="1:7" s="38" customFormat="1" ht="31.5">
      <c r="A63" s="50" t="s">
        <v>108</v>
      </c>
      <c r="B63" s="14" t="s">
        <v>365</v>
      </c>
      <c r="C63" s="14" t="s">
        <v>366</v>
      </c>
      <c r="D63" s="14" t="s">
        <v>371</v>
      </c>
      <c r="E63" s="43" t="s">
        <v>148</v>
      </c>
      <c r="F63" s="43" t="s">
        <v>109</v>
      </c>
      <c r="G63" s="41">
        <v>20</v>
      </c>
    </row>
    <row r="64" spans="1:7" s="38" customFormat="1" ht="15.75">
      <c r="A64" s="44" t="s">
        <v>155</v>
      </c>
      <c r="B64" s="14" t="s">
        <v>365</v>
      </c>
      <c r="C64" s="14" t="s">
        <v>367</v>
      </c>
      <c r="D64" s="14" t="s">
        <v>372</v>
      </c>
      <c r="E64" s="32"/>
      <c r="F64" s="82"/>
      <c r="G64" s="61">
        <f>G67+G65</f>
        <v>1178</v>
      </c>
    </row>
    <row r="65" spans="1:7" s="38" customFormat="1" ht="63">
      <c r="A65" s="39" t="s">
        <v>92</v>
      </c>
      <c r="B65" s="14" t="s">
        <v>365</v>
      </c>
      <c r="C65" s="14" t="s">
        <v>367</v>
      </c>
      <c r="D65" s="14" t="s">
        <v>372</v>
      </c>
      <c r="E65" s="43" t="s">
        <v>117</v>
      </c>
      <c r="F65" s="43" t="s">
        <v>93</v>
      </c>
      <c r="G65" s="41">
        <f>G66</f>
        <v>230</v>
      </c>
    </row>
    <row r="66" spans="1:7" s="38" customFormat="1" ht="31.5">
      <c r="A66" s="39" t="s">
        <v>94</v>
      </c>
      <c r="B66" s="14" t="s">
        <v>365</v>
      </c>
      <c r="C66" s="14" t="s">
        <v>367</v>
      </c>
      <c r="D66" s="14" t="s">
        <v>372</v>
      </c>
      <c r="E66" s="43" t="s">
        <v>117</v>
      </c>
      <c r="F66" s="43" t="s">
        <v>95</v>
      </c>
      <c r="G66" s="41">
        <v>230</v>
      </c>
    </row>
    <row r="67" spans="1:7" s="11" customFormat="1" ht="31.5">
      <c r="A67" s="52" t="s">
        <v>157</v>
      </c>
      <c r="B67" s="14" t="s">
        <v>365</v>
      </c>
      <c r="C67" s="14" t="s">
        <v>367</v>
      </c>
      <c r="D67" s="14" t="s">
        <v>372</v>
      </c>
      <c r="E67" s="43" t="s">
        <v>159</v>
      </c>
      <c r="F67" s="14"/>
      <c r="G67" s="49">
        <f>G68</f>
        <v>948</v>
      </c>
    </row>
    <row r="68" spans="1:7" s="11" customFormat="1" ht="31.5">
      <c r="A68" s="52" t="s">
        <v>373</v>
      </c>
      <c r="B68" s="14" t="s">
        <v>365</v>
      </c>
      <c r="C68" s="14" t="s">
        <v>367</v>
      </c>
      <c r="D68" s="14" t="s">
        <v>372</v>
      </c>
      <c r="E68" s="43" t="s">
        <v>159</v>
      </c>
      <c r="F68" s="14"/>
      <c r="G68" s="49">
        <f>G69</f>
        <v>948</v>
      </c>
    </row>
    <row r="69" spans="1:7" s="11" customFormat="1" ht="31.5">
      <c r="A69" s="52" t="s">
        <v>160</v>
      </c>
      <c r="B69" s="14" t="s">
        <v>365</v>
      </c>
      <c r="C69" s="14" t="s">
        <v>367</v>
      </c>
      <c r="D69" s="14" t="s">
        <v>372</v>
      </c>
      <c r="E69" s="43" t="s">
        <v>159</v>
      </c>
      <c r="F69" s="43"/>
      <c r="G69" s="41">
        <f>G70+G72</f>
        <v>948</v>
      </c>
    </row>
    <row r="70" spans="1:7" s="11" customFormat="1" ht="51.75" customHeight="1">
      <c r="A70" s="39" t="s">
        <v>92</v>
      </c>
      <c r="B70" s="14" t="s">
        <v>365</v>
      </c>
      <c r="C70" s="14" t="s">
        <v>367</v>
      </c>
      <c r="D70" s="14" t="s">
        <v>372</v>
      </c>
      <c r="E70" s="43" t="s">
        <v>159</v>
      </c>
      <c r="F70" s="43" t="s">
        <v>93</v>
      </c>
      <c r="G70" s="41">
        <f>G71</f>
        <v>853.7</v>
      </c>
    </row>
    <row r="71" spans="1:7" s="11" customFormat="1" ht="31.5">
      <c r="A71" s="39" t="s">
        <v>94</v>
      </c>
      <c r="B71" s="14" t="s">
        <v>365</v>
      </c>
      <c r="C71" s="14" t="s">
        <v>367</v>
      </c>
      <c r="D71" s="14" t="s">
        <v>372</v>
      </c>
      <c r="E71" s="43" t="s">
        <v>159</v>
      </c>
      <c r="F71" s="43" t="s">
        <v>95</v>
      </c>
      <c r="G71" s="41">
        <f>705.7+62+9+77</f>
        <v>853.7</v>
      </c>
    </row>
    <row r="72" spans="1:7" s="11" customFormat="1" ht="31.5">
      <c r="A72" s="50" t="s">
        <v>106</v>
      </c>
      <c r="B72" s="14" t="s">
        <v>365</v>
      </c>
      <c r="C72" s="14" t="s">
        <v>367</v>
      </c>
      <c r="D72" s="14" t="s">
        <v>372</v>
      </c>
      <c r="E72" s="43" t="s">
        <v>159</v>
      </c>
      <c r="F72" s="43" t="s">
        <v>107</v>
      </c>
      <c r="G72" s="41">
        <f>G73</f>
        <v>94.3</v>
      </c>
    </row>
    <row r="73" spans="1:7" s="11" customFormat="1" ht="27" customHeight="1">
      <c r="A73" s="50" t="s">
        <v>108</v>
      </c>
      <c r="B73" s="14" t="s">
        <v>365</v>
      </c>
      <c r="C73" s="14" t="s">
        <v>367</v>
      </c>
      <c r="D73" s="14" t="s">
        <v>372</v>
      </c>
      <c r="E73" s="43" t="s">
        <v>159</v>
      </c>
      <c r="F73" s="43" t="s">
        <v>109</v>
      </c>
      <c r="G73" s="41">
        <v>94.3</v>
      </c>
    </row>
    <row r="74" spans="1:7" s="11" customFormat="1" ht="18.75" customHeight="1">
      <c r="A74" s="44" t="s">
        <v>161</v>
      </c>
      <c r="B74" s="14" t="s">
        <v>365</v>
      </c>
      <c r="C74" s="14" t="s">
        <v>372</v>
      </c>
      <c r="D74" s="14"/>
      <c r="E74" s="31"/>
      <c r="F74" s="16"/>
      <c r="G74" s="13">
        <f>G75</f>
        <v>226.10000000000002</v>
      </c>
    </row>
    <row r="75" spans="1:7" s="11" customFormat="1" ht="37.5" customHeight="1">
      <c r="A75" s="48" t="s">
        <v>135</v>
      </c>
      <c r="B75" s="14" t="s">
        <v>365</v>
      </c>
      <c r="C75" s="14" t="s">
        <v>372</v>
      </c>
      <c r="D75" s="14" t="s">
        <v>374</v>
      </c>
      <c r="E75" s="40" t="s">
        <v>136</v>
      </c>
      <c r="F75" s="82"/>
      <c r="G75" s="41">
        <f>G79+G76+G82+G85</f>
        <v>226.10000000000002</v>
      </c>
    </row>
    <row r="76" spans="1:7" s="11" customFormat="1" ht="15.75">
      <c r="A76" s="53" t="s">
        <v>164</v>
      </c>
      <c r="B76" s="14" t="s">
        <v>365</v>
      </c>
      <c r="C76" s="14" t="s">
        <v>372</v>
      </c>
      <c r="D76" s="14" t="s">
        <v>374</v>
      </c>
      <c r="E76" s="40" t="s">
        <v>166</v>
      </c>
      <c r="F76" s="14"/>
      <c r="G76" s="41">
        <f>G77</f>
        <v>7.500000000000011</v>
      </c>
    </row>
    <row r="77" spans="1:7" s="11" customFormat="1" ht="15.75">
      <c r="A77" s="50" t="s">
        <v>106</v>
      </c>
      <c r="B77" s="14" t="s">
        <v>365</v>
      </c>
      <c r="C77" s="14" t="s">
        <v>372</v>
      </c>
      <c r="D77" s="14" t="s">
        <v>374</v>
      </c>
      <c r="E77" s="40" t="s">
        <v>166</v>
      </c>
      <c r="F77" s="14" t="s">
        <v>107</v>
      </c>
      <c r="G77" s="41">
        <f>G78</f>
        <v>7.500000000000011</v>
      </c>
    </row>
    <row r="78" spans="1:7" s="11" customFormat="1" ht="31.5">
      <c r="A78" s="50" t="s">
        <v>108</v>
      </c>
      <c r="B78" s="14" t="s">
        <v>365</v>
      </c>
      <c r="C78" s="14" t="s">
        <v>372</v>
      </c>
      <c r="D78" s="14" t="s">
        <v>374</v>
      </c>
      <c r="E78" s="40" t="s">
        <v>166</v>
      </c>
      <c r="F78" s="14" t="s">
        <v>109</v>
      </c>
      <c r="G78" s="41">
        <f>330.8-320-1.8-1.5</f>
        <v>7.500000000000011</v>
      </c>
    </row>
    <row r="79" spans="1:7" s="11" customFormat="1" ht="32.25" customHeight="1">
      <c r="A79" s="52" t="s">
        <v>167</v>
      </c>
      <c r="B79" s="14" t="s">
        <v>365</v>
      </c>
      <c r="C79" s="14" t="s">
        <v>372</v>
      </c>
      <c r="D79" s="14" t="s">
        <v>374</v>
      </c>
      <c r="E79" s="40" t="s">
        <v>168</v>
      </c>
      <c r="F79" s="1"/>
      <c r="G79" s="17">
        <f>G80</f>
        <v>33.099999999999994</v>
      </c>
    </row>
    <row r="80" spans="1:7" s="11" customFormat="1" ht="15.75">
      <c r="A80" s="50" t="s">
        <v>106</v>
      </c>
      <c r="B80" s="14" t="s">
        <v>365</v>
      </c>
      <c r="C80" s="14" t="s">
        <v>372</v>
      </c>
      <c r="D80" s="14" t="s">
        <v>374</v>
      </c>
      <c r="E80" s="40" t="s">
        <v>168</v>
      </c>
      <c r="F80" s="14" t="s">
        <v>107</v>
      </c>
      <c r="G80" s="41">
        <f>G81</f>
        <v>33.099999999999994</v>
      </c>
    </row>
    <row r="81" spans="1:7" s="11" customFormat="1" ht="31.5">
      <c r="A81" s="50" t="s">
        <v>108</v>
      </c>
      <c r="B81" s="14" t="s">
        <v>365</v>
      </c>
      <c r="C81" s="14" t="s">
        <v>372</v>
      </c>
      <c r="D81" s="14" t="s">
        <v>374</v>
      </c>
      <c r="E81" s="40" t="s">
        <v>168</v>
      </c>
      <c r="F81" s="14" t="s">
        <v>109</v>
      </c>
      <c r="G81" s="41">
        <f>92.3-66.2-13+70+1.5-76+57-32.5</f>
        <v>33.099999999999994</v>
      </c>
    </row>
    <row r="82" spans="1:7" s="11" customFormat="1" ht="15.75">
      <c r="A82" s="53" t="s">
        <v>169</v>
      </c>
      <c r="B82" s="14" t="s">
        <v>365</v>
      </c>
      <c r="C82" s="14" t="s">
        <v>372</v>
      </c>
      <c r="D82" s="14" t="s">
        <v>375</v>
      </c>
      <c r="E82" s="40" t="s">
        <v>171</v>
      </c>
      <c r="F82" s="14"/>
      <c r="G82" s="41">
        <f>G83</f>
        <v>132.2</v>
      </c>
    </row>
    <row r="83" spans="1:7" s="11" customFormat="1" ht="15.75">
      <c r="A83" s="50" t="s">
        <v>106</v>
      </c>
      <c r="B83" s="14" t="s">
        <v>365</v>
      </c>
      <c r="C83" s="14" t="s">
        <v>372</v>
      </c>
      <c r="D83" s="14" t="s">
        <v>375</v>
      </c>
      <c r="E83" s="40" t="s">
        <v>171</v>
      </c>
      <c r="F83" s="14" t="s">
        <v>107</v>
      </c>
      <c r="G83" s="41">
        <f>G84</f>
        <v>132.2</v>
      </c>
    </row>
    <row r="84" spans="1:7" s="11" customFormat="1" ht="21" customHeight="1">
      <c r="A84" s="50" t="s">
        <v>108</v>
      </c>
      <c r="B84" s="14" t="s">
        <v>365</v>
      </c>
      <c r="C84" s="14" t="s">
        <v>372</v>
      </c>
      <c r="D84" s="14" t="s">
        <v>375</v>
      </c>
      <c r="E84" s="40" t="s">
        <v>171</v>
      </c>
      <c r="F84" s="14" t="s">
        <v>109</v>
      </c>
      <c r="G84" s="41">
        <f>99.7+32.5</f>
        <v>132.2</v>
      </c>
    </row>
    <row r="85" spans="1:7" s="11" customFormat="1" ht="38.25" customHeight="1">
      <c r="A85" s="53" t="s">
        <v>172</v>
      </c>
      <c r="B85" s="14" t="s">
        <v>365</v>
      </c>
      <c r="C85" s="14" t="s">
        <v>372</v>
      </c>
      <c r="D85" s="14" t="s">
        <v>375</v>
      </c>
      <c r="E85" s="40" t="s">
        <v>376</v>
      </c>
      <c r="F85" s="14"/>
      <c r="G85" s="41">
        <f>G86</f>
        <v>53.3</v>
      </c>
    </row>
    <row r="86" spans="1:7" s="11" customFormat="1" ht="15.75">
      <c r="A86" s="50" t="s">
        <v>106</v>
      </c>
      <c r="B86" s="14" t="s">
        <v>365</v>
      </c>
      <c r="C86" s="14" t="s">
        <v>372</v>
      </c>
      <c r="D86" s="14" t="s">
        <v>375</v>
      </c>
      <c r="E86" s="40" t="s">
        <v>376</v>
      </c>
      <c r="F86" s="14" t="s">
        <v>107</v>
      </c>
      <c r="G86" s="41">
        <f>G87</f>
        <v>53.3</v>
      </c>
    </row>
    <row r="87" spans="1:7" s="11" customFormat="1" ht="31.5">
      <c r="A87" s="50" t="s">
        <v>108</v>
      </c>
      <c r="B87" s="14" t="s">
        <v>365</v>
      </c>
      <c r="C87" s="14" t="s">
        <v>372</v>
      </c>
      <c r="D87" s="14" t="s">
        <v>375</v>
      </c>
      <c r="E87" s="40" t="s">
        <v>376</v>
      </c>
      <c r="F87" s="14" t="s">
        <v>109</v>
      </c>
      <c r="G87" s="41">
        <f>84+39.3-70</f>
        <v>53.3</v>
      </c>
    </row>
    <row r="88" spans="1:10" s="11" customFormat="1" ht="15.75">
      <c r="A88" s="44" t="s">
        <v>174</v>
      </c>
      <c r="B88" s="14" t="s">
        <v>365</v>
      </c>
      <c r="C88" s="14" t="s">
        <v>368</v>
      </c>
      <c r="D88" s="14"/>
      <c r="E88" s="32"/>
      <c r="F88" s="82"/>
      <c r="G88" s="51">
        <f>G89+G112+G120</f>
        <v>98555.2706</v>
      </c>
      <c r="J88" s="47"/>
    </row>
    <row r="89" spans="1:7" s="11" customFormat="1" ht="15.75">
      <c r="A89" s="54" t="s">
        <v>176</v>
      </c>
      <c r="B89" s="14" t="s">
        <v>365</v>
      </c>
      <c r="C89" s="14" t="s">
        <v>368</v>
      </c>
      <c r="D89" s="14" t="s">
        <v>374</v>
      </c>
      <c r="E89" s="32"/>
      <c r="F89" s="82"/>
      <c r="G89" s="51">
        <f>G90+G102</f>
        <v>98094.2706</v>
      </c>
    </row>
    <row r="90" spans="1:7" s="11" customFormat="1" ht="47.25">
      <c r="A90" s="15" t="s">
        <v>178</v>
      </c>
      <c r="B90" s="14" t="s">
        <v>365</v>
      </c>
      <c r="C90" s="14" t="s">
        <v>368</v>
      </c>
      <c r="D90" s="14" t="s">
        <v>374</v>
      </c>
      <c r="E90" s="40" t="s">
        <v>179</v>
      </c>
      <c r="F90" s="82"/>
      <c r="G90" s="13">
        <f>G91</f>
        <v>86096.31</v>
      </c>
    </row>
    <row r="91" spans="1:7" s="11" customFormat="1" ht="31.5">
      <c r="A91" s="52" t="s">
        <v>180</v>
      </c>
      <c r="B91" s="14" t="s">
        <v>365</v>
      </c>
      <c r="C91" s="14" t="s">
        <v>368</v>
      </c>
      <c r="D91" s="14" t="s">
        <v>374</v>
      </c>
      <c r="E91" s="40" t="s">
        <v>182</v>
      </c>
      <c r="F91" s="82"/>
      <c r="G91" s="41">
        <f>G92+G96+G99+G94</f>
        <v>86096.31</v>
      </c>
    </row>
    <row r="92" spans="1:7" s="11" customFormat="1" ht="15.75">
      <c r="A92" s="50" t="s">
        <v>181</v>
      </c>
      <c r="B92" s="14" t="s">
        <v>365</v>
      </c>
      <c r="C92" s="14" t="s">
        <v>368</v>
      </c>
      <c r="D92" s="14" t="s">
        <v>374</v>
      </c>
      <c r="E92" s="40" t="s">
        <v>182</v>
      </c>
      <c r="F92" s="14" t="s">
        <v>107</v>
      </c>
      <c r="G92" s="41">
        <f>G93</f>
        <v>45644.44999999999</v>
      </c>
    </row>
    <row r="93" spans="1:7" s="11" customFormat="1" ht="15.75">
      <c r="A93" s="50" t="s">
        <v>106</v>
      </c>
      <c r="B93" s="14" t="s">
        <v>365</v>
      </c>
      <c r="C93" s="14" t="s">
        <v>368</v>
      </c>
      <c r="D93" s="14" t="s">
        <v>374</v>
      </c>
      <c r="E93" s="40" t="s">
        <v>182</v>
      </c>
      <c r="F93" s="14" t="s">
        <v>109</v>
      </c>
      <c r="G93" s="41">
        <f>15135.7-700-1324.4-6100.6+200+120+2035.3+50000+15976.92-8610.8-9478.4-500-8771.9-1638-70-500-50-79.37</f>
        <v>45644.44999999999</v>
      </c>
    </row>
    <row r="94" spans="1:7" s="11" customFormat="1" ht="15.75">
      <c r="A94" s="50" t="s">
        <v>110</v>
      </c>
      <c r="B94" s="14" t="s">
        <v>365</v>
      </c>
      <c r="C94" s="14" t="s">
        <v>368</v>
      </c>
      <c r="D94" s="14" t="s">
        <v>374</v>
      </c>
      <c r="E94" s="40" t="s">
        <v>182</v>
      </c>
      <c r="F94" s="14" t="s">
        <v>111</v>
      </c>
      <c r="G94" s="41">
        <f>G95</f>
        <v>200</v>
      </c>
    </row>
    <row r="95" spans="1:7" s="11" customFormat="1" ht="15.75">
      <c r="A95" s="50" t="s">
        <v>112</v>
      </c>
      <c r="B95" s="14" t="s">
        <v>365</v>
      </c>
      <c r="C95" s="14" t="s">
        <v>368</v>
      </c>
      <c r="D95" s="14" t="s">
        <v>374</v>
      </c>
      <c r="E95" s="40" t="s">
        <v>182</v>
      </c>
      <c r="F95" s="14" t="s">
        <v>113</v>
      </c>
      <c r="G95" s="41">
        <v>200</v>
      </c>
    </row>
    <row r="96" spans="1:13" s="64" customFormat="1" ht="15.75">
      <c r="A96" s="50" t="s">
        <v>183</v>
      </c>
      <c r="B96" s="14" t="s">
        <v>365</v>
      </c>
      <c r="C96" s="14" t="s">
        <v>368</v>
      </c>
      <c r="D96" s="14" t="s">
        <v>374</v>
      </c>
      <c r="E96" s="40" t="s">
        <v>184</v>
      </c>
      <c r="F96" s="14"/>
      <c r="G96" s="49">
        <f>G97</f>
        <v>28534.76</v>
      </c>
      <c r="M96" s="11"/>
    </row>
    <row r="97" spans="1:7" s="11" customFormat="1" ht="15.75">
      <c r="A97" s="50" t="s">
        <v>106</v>
      </c>
      <c r="B97" s="14" t="s">
        <v>365</v>
      </c>
      <c r="C97" s="14" t="s">
        <v>368</v>
      </c>
      <c r="D97" s="14" t="s">
        <v>374</v>
      </c>
      <c r="E97" s="40" t="s">
        <v>184</v>
      </c>
      <c r="F97" s="14" t="s">
        <v>107</v>
      </c>
      <c r="G97" s="49">
        <f>G98</f>
        <v>28534.76</v>
      </c>
    </row>
    <row r="98" spans="1:7" s="11" customFormat="1" ht="23.25" customHeight="1">
      <c r="A98" s="50" t="s">
        <v>108</v>
      </c>
      <c r="B98" s="14" t="s">
        <v>365</v>
      </c>
      <c r="C98" s="14" t="s">
        <v>368</v>
      </c>
      <c r="D98" s="14" t="s">
        <v>374</v>
      </c>
      <c r="E98" s="40" t="s">
        <v>184</v>
      </c>
      <c r="F98" s="14" t="s">
        <v>109</v>
      </c>
      <c r="G98" s="49">
        <f>28019.1-2730+2877.73+546.73-78.8-100</f>
        <v>28534.76</v>
      </c>
    </row>
    <row r="99" spans="1:7" s="11" customFormat="1" ht="63" customHeight="1">
      <c r="A99" s="50" t="s">
        <v>185</v>
      </c>
      <c r="B99" s="14" t="s">
        <v>365</v>
      </c>
      <c r="C99" s="14" t="s">
        <v>368</v>
      </c>
      <c r="D99" s="14" t="s">
        <v>374</v>
      </c>
      <c r="E99" s="40" t="s">
        <v>186</v>
      </c>
      <c r="F99" s="43"/>
      <c r="G99" s="41">
        <f>G100</f>
        <v>11717.1</v>
      </c>
    </row>
    <row r="100" spans="1:7" s="11" customFormat="1" ht="23.25" customHeight="1">
      <c r="A100" s="50" t="s">
        <v>106</v>
      </c>
      <c r="B100" s="14" t="s">
        <v>365</v>
      </c>
      <c r="C100" s="14" t="s">
        <v>368</v>
      </c>
      <c r="D100" s="14" t="s">
        <v>374</v>
      </c>
      <c r="E100" s="40" t="s">
        <v>186</v>
      </c>
      <c r="F100" s="43" t="s">
        <v>107</v>
      </c>
      <c r="G100" s="41">
        <f>G101</f>
        <v>11717.1</v>
      </c>
    </row>
    <row r="101" spans="1:7" s="11" customFormat="1" ht="23.25" customHeight="1">
      <c r="A101" s="50" t="s">
        <v>108</v>
      </c>
      <c r="B101" s="14" t="s">
        <v>365</v>
      </c>
      <c r="C101" s="14" t="s">
        <v>368</v>
      </c>
      <c r="D101" s="14" t="s">
        <v>374</v>
      </c>
      <c r="E101" s="40" t="s">
        <v>186</v>
      </c>
      <c r="F101" s="43" t="s">
        <v>109</v>
      </c>
      <c r="G101" s="41">
        <f>11410+649.2-342-0.1</f>
        <v>11717.1</v>
      </c>
    </row>
    <row r="102" spans="1:7" s="11" customFormat="1" ht="47.25">
      <c r="A102" s="50" t="s">
        <v>187</v>
      </c>
      <c r="B102" s="14" t="s">
        <v>365</v>
      </c>
      <c r="C102" s="14" t="s">
        <v>368</v>
      </c>
      <c r="D102" s="14" t="s">
        <v>374</v>
      </c>
      <c r="E102" s="43" t="s">
        <v>188</v>
      </c>
      <c r="F102" s="43"/>
      <c r="G102" s="41">
        <f>G103</f>
        <v>11997.9606</v>
      </c>
    </row>
    <row r="103" spans="1:7" s="11" customFormat="1" ht="31.5">
      <c r="A103" s="50" t="s">
        <v>189</v>
      </c>
      <c r="B103" s="14" t="s">
        <v>365</v>
      </c>
      <c r="C103" s="14" t="s">
        <v>368</v>
      </c>
      <c r="D103" s="14" t="s">
        <v>374</v>
      </c>
      <c r="E103" s="43" t="s">
        <v>190</v>
      </c>
      <c r="F103" s="43"/>
      <c r="G103" s="41">
        <f>G104</f>
        <v>11997.9606</v>
      </c>
    </row>
    <row r="104" spans="1:7" s="11" customFormat="1" ht="31.5">
      <c r="A104" s="55" t="s">
        <v>191</v>
      </c>
      <c r="B104" s="14" t="s">
        <v>365</v>
      </c>
      <c r="C104" s="14" t="s">
        <v>368</v>
      </c>
      <c r="D104" s="14" t="s">
        <v>374</v>
      </c>
      <c r="E104" s="43" t="s">
        <v>192</v>
      </c>
      <c r="F104" s="43"/>
      <c r="G104" s="41">
        <f>G105+G108</f>
        <v>11997.9606</v>
      </c>
    </row>
    <row r="105" spans="1:7" s="11" customFormat="1" ht="31.5">
      <c r="A105" s="50" t="s">
        <v>193</v>
      </c>
      <c r="B105" s="14" t="s">
        <v>365</v>
      </c>
      <c r="C105" s="14" t="s">
        <v>368</v>
      </c>
      <c r="D105" s="14" t="s">
        <v>374</v>
      </c>
      <c r="E105" s="43" t="s">
        <v>194</v>
      </c>
      <c r="F105" s="43"/>
      <c r="G105" s="41">
        <f>G106</f>
        <v>4968.2706</v>
      </c>
    </row>
    <row r="106" spans="1:7" s="11" customFormat="1" ht="31.5">
      <c r="A106" s="50" t="s">
        <v>106</v>
      </c>
      <c r="B106" s="14" t="s">
        <v>365</v>
      </c>
      <c r="C106" s="14" t="s">
        <v>368</v>
      </c>
      <c r="D106" s="14" t="s">
        <v>374</v>
      </c>
      <c r="E106" s="43" t="s">
        <v>194</v>
      </c>
      <c r="F106" s="43" t="s">
        <v>107</v>
      </c>
      <c r="G106" s="41">
        <f>G107</f>
        <v>4968.2706</v>
      </c>
    </row>
    <row r="107" spans="1:7" s="11" customFormat="1" ht="31.5">
      <c r="A107" s="50" t="s">
        <v>108</v>
      </c>
      <c r="B107" s="14" t="s">
        <v>365</v>
      </c>
      <c r="C107" s="14" t="s">
        <v>368</v>
      </c>
      <c r="D107" s="14" t="s">
        <v>374</v>
      </c>
      <c r="E107" s="43" t="s">
        <v>194</v>
      </c>
      <c r="F107" s="43" t="s">
        <v>109</v>
      </c>
      <c r="G107" s="41">
        <f>800+4500-331.7294</f>
        <v>4968.2706</v>
      </c>
    </row>
    <row r="108" spans="1:7" s="11" customFormat="1" ht="31.5">
      <c r="A108" s="50" t="s">
        <v>195</v>
      </c>
      <c r="B108" s="14" t="s">
        <v>365</v>
      </c>
      <c r="C108" s="14" t="s">
        <v>368</v>
      </c>
      <c r="D108" s="14" t="s">
        <v>374</v>
      </c>
      <c r="E108" s="43" t="s">
        <v>197</v>
      </c>
      <c r="F108" s="43"/>
      <c r="G108" s="41">
        <f>G109</f>
        <v>7029.6900000000005</v>
      </c>
    </row>
    <row r="109" spans="1:7" s="11" customFormat="1" ht="31.5">
      <c r="A109" s="50" t="s">
        <v>198</v>
      </c>
      <c r="B109" s="14" t="s">
        <v>365</v>
      </c>
      <c r="C109" s="14" t="s">
        <v>368</v>
      </c>
      <c r="D109" s="14" t="s">
        <v>374</v>
      </c>
      <c r="E109" s="43" t="s">
        <v>199</v>
      </c>
      <c r="F109" s="43"/>
      <c r="G109" s="41">
        <f>G110</f>
        <v>7029.6900000000005</v>
      </c>
    </row>
    <row r="110" spans="1:7" s="11" customFormat="1" ht="31.5">
      <c r="A110" s="50" t="s">
        <v>106</v>
      </c>
      <c r="B110" s="14" t="s">
        <v>365</v>
      </c>
      <c r="C110" s="14" t="s">
        <v>368</v>
      </c>
      <c r="D110" s="14" t="s">
        <v>374</v>
      </c>
      <c r="E110" s="43" t="s">
        <v>199</v>
      </c>
      <c r="F110" s="43" t="s">
        <v>107</v>
      </c>
      <c r="G110" s="41">
        <f>G111</f>
        <v>7029.6900000000005</v>
      </c>
    </row>
    <row r="111" spans="1:7" s="11" customFormat="1" ht="31.5">
      <c r="A111" s="50" t="s">
        <v>108</v>
      </c>
      <c r="B111" s="14" t="s">
        <v>365</v>
      </c>
      <c r="C111" s="14" t="s">
        <v>368</v>
      </c>
      <c r="D111" s="14" t="s">
        <v>374</v>
      </c>
      <c r="E111" s="43" t="s">
        <v>199</v>
      </c>
      <c r="F111" s="43" t="s">
        <v>109</v>
      </c>
      <c r="G111" s="41">
        <f>2759.13+2962.46+1308.1</f>
        <v>7029.6900000000005</v>
      </c>
    </row>
    <row r="112" spans="1:7" s="11" customFormat="1" ht="15.75">
      <c r="A112" s="44" t="s">
        <v>200</v>
      </c>
      <c r="B112" s="14" t="s">
        <v>365</v>
      </c>
      <c r="C112" s="14" t="s">
        <v>368</v>
      </c>
      <c r="D112" s="14" t="s">
        <v>377</v>
      </c>
      <c r="E112" s="32"/>
      <c r="F112" s="43"/>
      <c r="G112" s="41">
        <f>G114</f>
        <v>261</v>
      </c>
    </row>
    <row r="113" spans="1:7" s="11" customFormat="1" ht="47.25">
      <c r="A113" s="50" t="s">
        <v>187</v>
      </c>
      <c r="B113" s="14" t="s">
        <v>365</v>
      </c>
      <c r="C113" s="14" t="s">
        <v>368</v>
      </c>
      <c r="D113" s="14" t="s">
        <v>377</v>
      </c>
      <c r="E113" s="43" t="s">
        <v>188</v>
      </c>
      <c r="F113" s="43"/>
      <c r="G113" s="41">
        <f aca="true" t="shared" si="0" ref="G113:G118">G114</f>
        <v>261</v>
      </c>
    </row>
    <row r="114" spans="1:7" s="11" customFormat="1" ht="31.5">
      <c r="A114" s="50" t="s">
        <v>202</v>
      </c>
      <c r="B114" s="14" t="s">
        <v>365</v>
      </c>
      <c r="C114" s="14" t="s">
        <v>368</v>
      </c>
      <c r="D114" s="14" t="s">
        <v>377</v>
      </c>
      <c r="E114" s="43" t="s">
        <v>203</v>
      </c>
      <c r="F114" s="43"/>
      <c r="G114" s="41">
        <f t="shared" si="0"/>
        <v>261</v>
      </c>
    </row>
    <row r="115" spans="1:7" s="11" customFormat="1" ht="31.5">
      <c r="A115" s="55" t="s">
        <v>204</v>
      </c>
      <c r="B115" s="14" t="s">
        <v>365</v>
      </c>
      <c r="C115" s="14" t="s">
        <v>368</v>
      </c>
      <c r="D115" s="14" t="s">
        <v>377</v>
      </c>
      <c r="E115" s="43" t="s">
        <v>203</v>
      </c>
      <c r="F115" s="43"/>
      <c r="G115" s="41">
        <f t="shared" si="0"/>
        <v>261</v>
      </c>
    </row>
    <row r="116" spans="1:7" s="11" customFormat="1" ht="31.5">
      <c r="A116" s="50" t="s">
        <v>206</v>
      </c>
      <c r="B116" s="14" t="s">
        <v>365</v>
      </c>
      <c r="C116" s="14" t="s">
        <v>368</v>
      </c>
      <c r="D116" s="14" t="s">
        <v>377</v>
      </c>
      <c r="E116" s="43" t="s">
        <v>207</v>
      </c>
      <c r="F116" s="43"/>
      <c r="G116" s="41">
        <f t="shared" si="0"/>
        <v>261</v>
      </c>
    </row>
    <row r="117" spans="1:7" s="11" customFormat="1" ht="31.5">
      <c r="A117" s="50" t="s">
        <v>208</v>
      </c>
      <c r="B117" s="14" t="s">
        <v>365</v>
      </c>
      <c r="C117" s="14" t="s">
        <v>368</v>
      </c>
      <c r="D117" s="14" t="s">
        <v>377</v>
      </c>
      <c r="E117" s="43" t="s">
        <v>209</v>
      </c>
      <c r="F117" s="43"/>
      <c r="G117" s="41">
        <f t="shared" si="0"/>
        <v>261</v>
      </c>
    </row>
    <row r="118" spans="1:7" s="11" customFormat="1" ht="31.5">
      <c r="A118" s="15" t="s">
        <v>106</v>
      </c>
      <c r="B118" s="14" t="s">
        <v>365</v>
      </c>
      <c r="C118" s="14" t="s">
        <v>368</v>
      </c>
      <c r="D118" s="14" t="s">
        <v>377</v>
      </c>
      <c r="E118" s="43" t="s">
        <v>209</v>
      </c>
      <c r="F118" s="43" t="s">
        <v>107</v>
      </c>
      <c r="G118" s="41">
        <f t="shared" si="0"/>
        <v>261</v>
      </c>
    </row>
    <row r="119" spans="1:7" s="11" customFormat="1" ht="31.5">
      <c r="A119" s="15" t="s">
        <v>108</v>
      </c>
      <c r="B119" s="14" t="s">
        <v>365</v>
      </c>
      <c r="C119" s="14" t="s">
        <v>368</v>
      </c>
      <c r="D119" s="14" t="s">
        <v>377</v>
      </c>
      <c r="E119" s="43" t="s">
        <v>209</v>
      </c>
      <c r="F119" s="43" t="s">
        <v>109</v>
      </c>
      <c r="G119" s="41">
        <f>214+47</f>
        <v>261</v>
      </c>
    </row>
    <row r="120" spans="1:7" s="11" customFormat="1" ht="15.75">
      <c r="A120" s="44" t="s">
        <v>210</v>
      </c>
      <c r="B120" s="14" t="s">
        <v>365</v>
      </c>
      <c r="C120" s="14" t="s">
        <v>368</v>
      </c>
      <c r="D120" s="14" t="s">
        <v>378</v>
      </c>
      <c r="E120" s="32"/>
      <c r="F120" s="14"/>
      <c r="G120" s="71">
        <f>G121</f>
        <v>200</v>
      </c>
    </row>
    <row r="121" spans="1:7" s="11" customFormat="1" ht="47.25">
      <c r="A121" s="15" t="s">
        <v>141</v>
      </c>
      <c r="B121" s="14" t="s">
        <v>365</v>
      </c>
      <c r="C121" s="14" t="s">
        <v>368</v>
      </c>
      <c r="D121" s="14" t="s">
        <v>378</v>
      </c>
      <c r="E121" s="43" t="s">
        <v>212</v>
      </c>
      <c r="F121" s="14"/>
      <c r="G121" s="49">
        <f>G122</f>
        <v>200</v>
      </c>
    </row>
    <row r="122" spans="1:7" s="11" customFormat="1" ht="31.5">
      <c r="A122" s="39" t="s">
        <v>213</v>
      </c>
      <c r="B122" s="14" t="s">
        <v>365</v>
      </c>
      <c r="C122" s="14" t="s">
        <v>368</v>
      </c>
      <c r="D122" s="14" t="s">
        <v>378</v>
      </c>
      <c r="E122" s="43" t="s">
        <v>214</v>
      </c>
      <c r="F122" s="14"/>
      <c r="G122" s="49">
        <f>G123</f>
        <v>200</v>
      </c>
    </row>
    <row r="123" spans="1:7" s="11" customFormat="1" ht="31.5">
      <c r="A123" s="15" t="s">
        <v>106</v>
      </c>
      <c r="B123" s="14" t="s">
        <v>365</v>
      </c>
      <c r="C123" s="14" t="s">
        <v>368</v>
      </c>
      <c r="D123" s="14" t="s">
        <v>378</v>
      </c>
      <c r="E123" s="43" t="s">
        <v>214</v>
      </c>
      <c r="F123" s="14" t="s">
        <v>107</v>
      </c>
      <c r="G123" s="49">
        <f>G124</f>
        <v>200</v>
      </c>
    </row>
    <row r="124" spans="1:7" s="11" customFormat="1" ht="31.5">
      <c r="A124" s="15" t="s">
        <v>108</v>
      </c>
      <c r="B124" s="14" t="s">
        <v>365</v>
      </c>
      <c r="C124" s="14" t="s">
        <v>368</v>
      </c>
      <c r="D124" s="14" t="s">
        <v>378</v>
      </c>
      <c r="E124" s="43" t="s">
        <v>214</v>
      </c>
      <c r="F124" s="14" t="s">
        <v>109</v>
      </c>
      <c r="G124" s="49">
        <v>200</v>
      </c>
    </row>
    <row r="125" spans="1:10" s="38" customFormat="1" ht="15.75">
      <c r="A125" s="44" t="s">
        <v>215</v>
      </c>
      <c r="B125" s="14" t="s">
        <v>365</v>
      </c>
      <c r="C125" s="14" t="s">
        <v>379</v>
      </c>
      <c r="D125" s="14"/>
      <c r="E125" s="32"/>
      <c r="F125" s="82"/>
      <c r="G125" s="61">
        <f>G126+G160+G174</f>
        <v>197776.9792</v>
      </c>
      <c r="H125" s="85"/>
      <c r="J125" s="85"/>
    </row>
    <row r="126" spans="1:7" s="38" customFormat="1" ht="15.75">
      <c r="A126" s="54" t="s">
        <v>217</v>
      </c>
      <c r="B126" s="14" t="s">
        <v>365</v>
      </c>
      <c r="C126" s="14" t="s">
        <v>379</v>
      </c>
      <c r="D126" s="14" t="s">
        <v>366</v>
      </c>
      <c r="E126" s="32"/>
      <c r="F126" s="82"/>
      <c r="G126" s="61">
        <f>G127+G137+G156</f>
        <v>77326.68455</v>
      </c>
    </row>
    <row r="127" spans="1:7" s="38" customFormat="1" ht="47.25">
      <c r="A127" s="15" t="s">
        <v>219</v>
      </c>
      <c r="B127" s="14" t="s">
        <v>365</v>
      </c>
      <c r="C127" s="14" t="s">
        <v>379</v>
      </c>
      <c r="D127" s="14" t="s">
        <v>366</v>
      </c>
      <c r="E127" s="43" t="s">
        <v>220</v>
      </c>
      <c r="F127" s="82"/>
      <c r="G127" s="49">
        <f>G134+G131</f>
        <v>62177.73706</v>
      </c>
    </row>
    <row r="128" spans="1:7" s="38" customFormat="1" ht="47.25" hidden="1">
      <c r="A128" s="50" t="s">
        <v>221</v>
      </c>
      <c r="B128" s="14" t="s">
        <v>365</v>
      </c>
      <c r="C128" s="14" t="s">
        <v>379</v>
      </c>
      <c r="D128" s="14" t="s">
        <v>366</v>
      </c>
      <c r="E128" s="43" t="s">
        <v>222</v>
      </c>
      <c r="F128" s="43"/>
      <c r="G128" s="49">
        <f>G129</f>
        <v>0</v>
      </c>
    </row>
    <row r="129" spans="1:7" s="38" customFormat="1" ht="31.5" hidden="1">
      <c r="A129" s="15" t="s">
        <v>106</v>
      </c>
      <c r="B129" s="14" t="s">
        <v>365</v>
      </c>
      <c r="C129" s="14" t="s">
        <v>379</v>
      </c>
      <c r="D129" s="14" t="s">
        <v>366</v>
      </c>
      <c r="E129" s="43" t="s">
        <v>222</v>
      </c>
      <c r="F129" s="43" t="s">
        <v>109</v>
      </c>
      <c r="G129" s="49">
        <f>G130</f>
        <v>0</v>
      </c>
    </row>
    <row r="130" spans="1:7" s="38" customFormat="1" ht="31.5" hidden="1">
      <c r="A130" s="15" t="s">
        <v>108</v>
      </c>
      <c r="B130" s="14" t="s">
        <v>365</v>
      </c>
      <c r="C130" s="14" t="s">
        <v>379</v>
      </c>
      <c r="D130" s="14" t="s">
        <v>366</v>
      </c>
      <c r="E130" s="43" t="s">
        <v>222</v>
      </c>
      <c r="F130" s="43" t="s">
        <v>109</v>
      </c>
      <c r="G130" s="49">
        <v>0</v>
      </c>
    </row>
    <row r="131" spans="1:7" s="38" customFormat="1" ht="78.75">
      <c r="A131" s="50" t="s">
        <v>223</v>
      </c>
      <c r="B131" s="14" t="s">
        <v>365</v>
      </c>
      <c r="C131" s="14" t="s">
        <v>379</v>
      </c>
      <c r="D131" s="14" t="s">
        <v>366</v>
      </c>
      <c r="E131" s="43" t="s">
        <v>222</v>
      </c>
      <c r="F131" s="43"/>
      <c r="G131" s="49">
        <f>G132</f>
        <v>60177.73706</v>
      </c>
    </row>
    <row r="132" spans="1:7" s="38" customFormat="1" ht="31.5">
      <c r="A132" s="15" t="s">
        <v>106</v>
      </c>
      <c r="B132" s="14" t="s">
        <v>365</v>
      </c>
      <c r="C132" s="14" t="s">
        <v>379</v>
      </c>
      <c r="D132" s="14" t="s">
        <v>366</v>
      </c>
      <c r="E132" s="43" t="s">
        <v>222</v>
      </c>
      <c r="F132" s="43" t="s">
        <v>109</v>
      </c>
      <c r="G132" s="49">
        <f>G133</f>
        <v>60177.73706</v>
      </c>
    </row>
    <row r="133" spans="1:8" s="38" customFormat="1" ht="31.5">
      <c r="A133" s="15" t="s">
        <v>108</v>
      </c>
      <c r="B133" s="14" t="s">
        <v>365</v>
      </c>
      <c r="C133" s="14" t="s">
        <v>379</v>
      </c>
      <c r="D133" s="14" t="s">
        <v>366</v>
      </c>
      <c r="E133" s="43" t="s">
        <v>222</v>
      </c>
      <c r="F133" s="43" t="s">
        <v>109</v>
      </c>
      <c r="G133" s="49">
        <f>42956.33202+27997.62151-10776.21647</f>
        <v>60177.73706</v>
      </c>
      <c r="H133" s="11"/>
    </row>
    <row r="134" spans="1:8" s="38" customFormat="1" ht="78.75">
      <c r="A134" s="50" t="s">
        <v>380</v>
      </c>
      <c r="B134" s="14" t="s">
        <v>365</v>
      </c>
      <c r="C134" s="14" t="s">
        <v>379</v>
      </c>
      <c r="D134" s="14" t="s">
        <v>366</v>
      </c>
      <c r="E134" s="43" t="s">
        <v>225</v>
      </c>
      <c r="F134" s="43"/>
      <c r="G134" s="49">
        <f>G135</f>
        <v>2000</v>
      </c>
      <c r="H134" s="11"/>
    </row>
    <row r="135" spans="1:8" s="38" customFormat="1" ht="31.5">
      <c r="A135" s="15" t="s">
        <v>106</v>
      </c>
      <c r="B135" s="14" t="s">
        <v>365</v>
      </c>
      <c r="C135" s="14" t="s">
        <v>379</v>
      </c>
      <c r="D135" s="14" t="s">
        <v>366</v>
      </c>
      <c r="E135" s="43" t="s">
        <v>225</v>
      </c>
      <c r="F135" s="43" t="s">
        <v>109</v>
      </c>
      <c r="G135" s="49">
        <f>G136</f>
        <v>2000</v>
      </c>
      <c r="H135" s="11"/>
    </row>
    <row r="136" spans="1:8" s="38" customFormat="1" ht="31.5">
      <c r="A136" s="15" t="s">
        <v>108</v>
      </c>
      <c r="B136" s="14" t="s">
        <v>365</v>
      </c>
      <c r="C136" s="14" t="s">
        <v>379</v>
      </c>
      <c r="D136" s="14" t="s">
        <v>366</v>
      </c>
      <c r="E136" s="43" t="s">
        <v>225</v>
      </c>
      <c r="F136" s="43" t="s">
        <v>109</v>
      </c>
      <c r="G136" s="49">
        <f>7000-5000</f>
        <v>2000</v>
      </c>
      <c r="H136" s="11"/>
    </row>
    <row r="137" spans="1:7" s="38" customFormat="1" ht="47.25">
      <c r="A137" s="50" t="s">
        <v>187</v>
      </c>
      <c r="B137" s="14" t="s">
        <v>365</v>
      </c>
      <c r="C137" s="14" t="s">
        <v>379</v>
      </c>
      <c r="D137" s="14" t="s">
        <v>366</v>
      </c>
      <c r="E137" s="43" t="s">
        <v>188</v>
      </c>
      <c r="F137" s="43"/>
      <c r="G137" s="41">
        <f>G138</f>
        <v>15018.94749</v>
      </c>
    </row>
    <row r="138" spans="1:7" s="38" customFormat="1" ht="31.5">
      <c r="A138" s="50" t="s">
        <v>231</v>
      </c>
      <c r="B138" s="14" t="s">
        <v>365</v>
      </c>
      <c r="C138" s="14" t="s">
        <v>379</v>
      </c>
      <c r="D138" s="14" t="s">
        <v>366</v>
      </c>
      <c r="E138" s="43" t="s">
        <v>232</v>
      </c>
      <c r="F138" s="43"/>
      <c r="G138" s="41">
        <f>G139+G146+G153</f>
        <v>15018.94749</v>
      </c>
    </row>
    <row r="139" spans="1:7" s="38" customFormat="1" ht="31.5">
      <c r="A139" s="55" t="s">
        <v>233</v>
      </c>
      <c r="B139" s="14" t="s">
        <v>365</v>
      </c>
      <c r="C139" s="14" t="s">
        <v>379</v>
      </c>
      <c r="D139" s="14" t="s">
        <v>366</v>
      </c>
      <c r="E139" s="43" t="s">
        <v>234</v>
      </c>
      <c r="F139" s="43"/>
      <c r="G139" s="41">
        <f>G143+G140</f>
        <v>360.24</v>
      </c>
    </row>
    <row r="140" spans="1:7" s="38" customFormat="1" ht="47.25">
      <c r="A140" s="56" t="s">
        <v>381</v>
      </c>
      <c r="B140" s="14" t="s">
        <v>365</v>
      </c>
      <c r="C140" s="14" t="s">
        <v>379</v>
      </c>
      <c r="D140" s="14" t="s">
        <v>366</v>
      </c>
      <c r="E140" s="43" t="s">
        <v>236</v>
      </c>
      <c r="F140" s="43"/>
      <c r="G140" s="41">
        <f>G141</f>
        <v>295.76</v>
      </c>
    </row>
    <row r="141" spans="1:7" s="38" customFormat="1" ht="31.5">
      <c r="A141" s="50" t="s">
        <v>106</v>
      </c>
      <c r="B141" s="14" t="s">
        <v>365</v>
      </c>
      <c r="C141" s="14" t="s">
        <v>379</v>
      </c>
      <c r="D141" s="14" t="s">
        <v>366</v>
      </c>
      <c r="E141" s="43" t="s">
        <v>236</v>
      </c>
      <c r="F141" s="43" t="s">
        <v>111</v>
      </c>
      <c r="G141" s="41">
        <f>G142</f>
        <v>295.76</v>
      </c>
    </row>
    <row r="142" spans="1:7" s="38" customFormat="1" ht="31.5">
      <c r="A142" s="50" t="s">
        <v>108</v>
      </c>
      <c r="B142" s="14" t="s">
        <v>365</v>
      </c>
      <c r="C142" s="14" t="s">
        <v>379</v>
      </c>
      <c r="D142" s="14" t="s">
        <v>366</v>
      </c>
      <c r="E142" s="43" t="s">
        <v>236</v>
      </c>
      <c r="F142" s="43" t="s">
        <v>237</v>
      </c>
      <c r="G142" s="41">
        <v>295.76</v>
      </c>
    </row>
    <row r="143" spans="1:7" s="38" customFormat="1" ht="63">
      <c r="A143" s="56" t="s">
        <v>382</v>
      </c>
      <c r="B143" s="14" t="s">
        <v>365</v>
      </c>
      <c r="C143" s="14" t="s">
        <v>379</v>
      </c>
      <c r="D143" s="14" t="s">
        <v>366</v>
      </c>
      <c r="E143" s="43" t="s">
        <v>236</v>
      </c>
      <c r="F143" s="43"/>
      <c r="G143" s="41">
        <f>G144</f>
        <v>64.48</v>
      </c>
    </row>
    <row r="144" spans="1:7" s="38" customFormat="1" ht="31.5">
      <c r="A144" s="50" t="s">
        <v>106</v>
      </c>
      <c r="B144" s="14" t="s">
        <v>365</v>
      </c>
      <c r="C144" s="14" t="s">
        <v>379</v>
      </c>
      <c r="D144" s="14" t="s">
        <v>366</v>
      </c>
      <c r="E144" s="43" t="s">
        <v>236</v>
      </c>
      <c r="F144" s="43" t="s">
        <v>111</v>
      </c>
      <c r="G144" s="41">
        <f>G145</f>
        <v>64.48</v>
      </c>
    </row>
    <row r="145" spans="1:7" s="38" customFormat="1" ht="31.5">
      <c r="A145" s="50" t="s">
        <v>108</v>
      </c>
      <c r="B145" s="14" t="s">
        <v>365</v>
      </c>
      <c r="C145" s="14" t="s">
        <v>379</v>
      </c>
      <c r="D145" s="14" t="s">
        <v>366</v>
      </c>
      <c r="E145" s="43" t="s">
        <v>236</v>
      </c>
      <c r="F145" s="43" t="s">
        <v>237</v>
      </c>
      <c r="G145" s="41">
        <v>64.48</v>
      </c>
    </row>
    <row r="146" spans="1:7" s="38" customFormat="1" ht="47.25">
      <c r="A146" s="55" t="s">
        <v>238</v>
      </c>
      <c r="B146" s="14" t="s">
        <v>365</v>
      </c>
      <c r="C146" s="14" t="s">
        <v>379</v>
      </c>
      <c r="D146" s="14" t="s">
        <v>366</v>
      </c>
      <c r="E146" s="43" t="s">
        <v>239</v>
      </c>
      <c r="F146" s="43"/>
      <c r="G146" s="41">
        <f>G147+G150</f>
        <v>12108.70749</v>
      </c>
    </row>
    <row r="147" spans="1:7" s="38" customFormat="1" ht="31.5">
      <c r="A147" s="15" t="s">
        <v>240</v>
      </c>
      <c r="B147" s="14" t="s">
        <v>365</v>
      </c>
      <c r="C147" s="14" t="s">
        <v>379</v>
      </c>
      <c r="D147" s="14" t="s">
        <v>366</v>
      </c>
      <c r="E147" s="43" t="s">
        <v>241</v>
      </c>
      <c r="F147" s="43"/>
      <c r="G147" s="41">
        <f>G148</f>
        <v>4500</v>
      </c>
    </row>
    <row r="148" spans="1:7" s="38" customFormat="1" ht="31.5">
      <c r="A148" s="15" t="s">
        <v>106</v>
      </c>
      <c r="B148" s="14" t="s">
        <v>365</v>
      </c>
      <c r="C148" s="14" t="s">
        <v>379</v>
      </c>
      <c r="D148" s="14" t="s">
        <v>366</v>
      </c>
      <c r="E148" s="43" t="s">
        <v>241</v>
      </c>
      <c r="F148" s="43" t="s">
        <v>107</v>
      </c>
      <c r="G148" s="41">
        <f>G149</f>
        <v>4500</v>
      </c>
    </row>
    <row r="149" spans="1:7" s="38" customFormat="1" ht="31.5">
      <c r="A149" s="15" t="s">
        <v>108</v>
      </c>
      <c r="B149" s="14" t="s">
        <v>365</v>
      </c>
      <c r="C149" s="14" t="s">
        <v>379</v>
      </c>
      <c r="D149" s="14" t="s">
        <v>366</v>
      </c>
      <c r="E149" s="43" t="s">
        <v>241</v>
      </c>
      <c r="F149" s="43" t="s">
        <v>109</v>
      </c>
      <c r="G149" s="41">
        <v>4500</v>
      </c>
    </row>
    <row r="150" spans="1:7" s="38" customFormat="1" ht="31.5">
      <c r="A150" s="15" t="s">
        <v>242</v>
      </c>
      <c r="B150" s="14" t="s">
        <v>365</v>
      </c>
      <c r="C150" s="14" t="s">
        <v>379</v>
      </c>
      <c r="D150" s="14" t="s">
        <v>366</v>
      </c>
      <c r="E150" s="43" t="s">
        <v>241</v>
      </c>
      <c r="F150" s="43"/>
      <c r="G150" s="41">
        <f>G151</f>
        <v>7608.707490000001</v>
      </c>
    </row>
    <row r="151" spans="1:7" s="38" customFormat="1" ht="31.5">
      <c r="A151" s="15" t="s">
        <v>106</v>
      </c>
      <c r="B151" s="14" t="s">
        <v>365</v>
      </c>
      <c r="C151" s="14" t="s">
        <v>379</v>
      </c>
      <c r="D151" s="14" t="s">
        <v>366</v>
      </c>
      <c r="E151" s="43" t="s">
        <v>241</v>
      </c>
      <c r="F151" s="43" t="s">
        <v>107</v>
      </c>
      <c r="G151" s="41">
        <f>G152</f>
        <v>7608.707490000001</v>
      </c>
    </row>
    <row r="152" spans="1:7" s="38" customFormat="1" ht="31.5">
      <c r="A152" s="15" t="s">
        <v>108</v>
      </c>
      <c r="B152" s="14" t="s">
        <v>365</v>
      </c>
      <c r="C152" s="14" t="s">
        <v>379</v>
      </c>
      <c r="D152" s="14" t="s">
        <v>366</v>
      </c>
      <c r="E152" s="43" t="s">
        <v>241</v>
      </c>
      <c r="F152" s="43" t="s">
        <v>109</v>
      </c>
      <c r="G152" s="41">
        <f>700+2000+42.08385+776.9306+135+3954.69304</f>
        <v>7608.707490000001</v>
      </c>
    </row>
    <row r="153" spans="1:7" s="64" customFormat="1" ht="47.25">
      <c r="A153" s="57" t="s">
        <v>243</v>
      </c>
      <c r="B153" s="14" t="s">
        <v>365</v>
      </c>
      <c r="C153" s="14" t="s">
        <v>379</v>
      </c>
      <c r="D153" s="14" t="s">
        <v>366</v>
      </c>
      <c r="E153" s="43" t="s">
        <v>244</v>
      </c>
      <c r="F153" s="43"/>
      <c r="G153" s="41">
        <f>G154</f>
        <v>2550</v>
      </c>
    </row>
    <row r="154" spans="1:7" s="64" customFormat="1" ht="31.5">
      <c r="A154" s="50" t="s">
        <v>106</v>
      </c>
      <c r="B154" s="14" t="s">
        <v>365</v>
      </c>
      <c r="C154" s="14" t="s">
        <v>379</v>
      </c>
      <c r="D154" s="14" t="s">
        <v>366</v>
      </c>
      <c r="E154" s="43" t="s">
        <v>244</v>
      </c>
      <c r="F154" s="43" t="s">
        <v>107</v>
      </c>
      <c r="G154" s="41">
        <f>G155</f>
        <v>2550</v>
      </c>
    </row>
    <row r="155" spans="1:7" s="64" customFormat="1" ht="31.5">
      <c r="A155" s="15" t="s">
        <v>108</v>
      </c>
      <c r="B155" s="14" t="s">
        <v>365</v>
      </c>
      <c r="C155" s="14" t="s">
        <v>379</v>
      </c>
      <c r="D155" s="14" t="s">
        <v>366</v>
      </c>
      <c r="E155" s="43" t="s">
        <v>244</v>
      </c>
      <c r="F155" s="43" t="s">
        <v>109</v>
      </c>
      <c r="G155" s="41">
        <f>1800+750</f>
        <v>2550</v>
      </c>
    </row>
    <row r="156" spans="1:7" s="64" customFormat="1" ht="31.5">
      <c r="A156" s="15" t="s">
        <v>383</v>
      </c>
      <c r="B156" s="14" t="s">
        <v>365</v>
      </c>
      <c r="C156" s="14" t="s">
        <v>379</v>
      </c>
      <c r="D156" s="14" t="s">
        <v>366</v>
      </c>
      <c r="E156" s="43" t="s">
        <v>146</v>
      </c>
      <c r="F156" s="43"/>
      <c r="G156" s="41">
        <f>G157</f>
        <v>130</v>
      </c>
    </row>
    <row r="157" spans="1:7" s="64" customFormat="1" ht="31.5">
      <c r="A157" s="15" t="s">
        <v>245</v>
      </c>
      <c r="B157" s="14" t="s">
        <v>365</v>
      </c>
      <c r="C157" s="14" t="s">
        <v>379</v>
      </c>
      <c r="D157" s="14" t="s">
        <v>366</v>
      </c>
      <c r="E157" s="43" t="s">
        <v>246</v>
      </c>
      <c r="F157" s="43"/>
      <c r="G157" s="41">
        <f>G158</f>
        <v>130</v>
      </c>
    </row>
    <row r="158" spans="1:7" s="64" customFormat="1" ht="31.5">
      <c r="A158" s="50" t="s">
        <v>106</v>
      </c>
      <c r="B158" s="14" t="s">
        <v>365</v>
      </c>
      <c r="C158" s="14" t="s">
        <v>379</v>
      </c>
      <c r="D158" s="14" t="s">
        <v>366</v>
      </c>
      <c r="E158" s="43" t="s">
        <v>246</v>
      </c>
      <c r="F158" s="43" t="s">
        <v>107</v>
      </c>
      <c r="G158" s="41">
        <f>G159</f>
        <v>130</v>
      </c>
    </row>
    <row r="159" spans="1:7" s="64" customFormat="1" ht="31.5">
      <c r="A159" s="50" t="s">
        <v>108</v>
      </c>
      <c r="B159" s="14" t="s">
        <v>365</v>
      </c>
      <c r="C159" s="14" t="s">
        <v>379</v>
      </c>
      <c r="D159" s="14" t="s">
        <v>366</v>
      </c>
      <c r="E159" s="43" t="s">
        <v>246</v>
      </c>
      <c r="F159" s="43" t="s">
        <v>109</v>
      </c>
      <c r="G159" s="41">
        <f>150-20</f>
        <v>130</v>
      </c>
    </row>
    <row r="160" spans="1:7" s="11" customFormat="1" ht="15.75">
      <c r="A160" s="54" t="s">
        <v>247</v>
      </c>
      <c r="B160" s="14" t="s">
        <v>365</v>
      </c>
      <c r="C160" s="14" t="s">
        <v>379</v>
      </c>
      <c r="D160" s="14" t="s">
        <v>367</v>
      </c>
      <c r="E160" s="43"/>
      <c r="F160" s="14"/>
      <c r="G160" s="71">
        <f>G161</f>
        <v>48159.4</v>
      </c>
    </row>
    <row r="161" spans="1:7" s="11" customFormat="1" ht="36" customHeight="1">
      <c r="A161" s="15" t="s">
        <v>249</v>
      </c>
      <c r="B161" s="14" t="s">
        <v>365</v>
      </c>
      <c r="C161" s="14" t="s">
        <v>379</v>
      </c>
      <c r="D161" s="14" t="s">
        <v>367</v>
      </c>
      <c r="E161" s="40" t="s">
        <v>250</v>
      </c>
      <c r="F161" s="1"/>
      <c r="G161" s="49">
        <f>G162+G164+G167</f>
        <v>48159.4</v>
      </c>
    </row>
    <row r="162" spans="1:7" s="11" customFormat="1" ht="15.75">
      <c r="A162" s="50" t="s">
        <v>106</v>
      </c>
      <c r="B162" s="14" t="s">
        <v>365</v>
      </c>
      <c r="C162" s="14" t="s">
        <v>379</v>
      </c>
      <c r="D162" s="14" t="s">
        <v>367</v>
      </c>
      <c r="E162" s="40" t="s">
        <v>251</v>
      </c>
      <c r="F162" s="14" t="s">
        <v>107</v>
      </c>
      <c r="G162" s="49">
        <f>G163</f>
        <v>14559.4</v>
      </c>
    </row>
    <row r="163" spans="1:7" s="11" customFormat="1" ht="23.25" customHeight="1">
      <c r="A163" s="15" t="s">
        <v>108</v>
      </c>
      <c r="B163" s="14" t="s">
        <v>365</v>
      </c>
      <c r="C163" s="14" t="s">
        <v>379</v>
      </c>
      <c r="D163" s="14" t="s">
        <v>367</v>
      </c>
      <c r="E163" s="40" t="s">
        <v>251</v>
      </c>
      <c r="F163" s="14" t="s">
        <v>109</v>
      </c>
      <c r="G163" s="49">
        <f>3322-77+464.8+6628.2-550+1420.9+1676.2+1000+927.4+496.9-750</f>
        <v>14559.4</v>
      </c>
    </row>
    <row r="164" spans="1:7" s="11" customFormat="1" ht="90" customHeight="1">
      <c r="A164" s="15" t="s">
        <v>549</v>
      </c>
      <c r="B164" s="14" t="s">
        <v>365</v>
      </c>
      <c r="C164" s="14" t="s">
        <v>379</v>
      </c>
      <c r="D164" s="14" t="s">
        <v>367</v>
      </c>
      <c r="E164" s="40" t="s">
        <v>550</v>
      </c>
      <c r="F164" s="58"/>
      <c r="G164" s="41">
        <f>G165</f>
        <v>23500</v>
      </c>
    </row>
    <row r="165" spans="1:7" s="11" customFormat="1" ht="23.25" customHeight="1">
      <c r="A165" s="15" t="s">
        <v>110</v>
      </c>
      <c r="B165" s="14" t="s">
        <v>365</v>
      </c>
      <c r="C165" s="14" t="s">
        <v>379</v>
      </c>
      <c r="D165" s="14" t="s">
        <v>367</v>
      </c>
      <c r="E165" s="40" t="s">
        <v>550</v>
      </c>
      <c r="F165" s="58" t="s">
        <v>111</v>
      </c>
      <c r="G165" s="41">
        <f>G166</f>
        <v>23500</v>
      </c>
    </row>
    <row r="166" spans="1:7" s="11" customFormat="1" ht="63" customHeight="1">
      <c r="A166" s="15" t="s">
        <v>65</v>
      </c>
      <c r="B166" s="14" t="s">
        <v>365</v>
      </c>
      <c r="C166" s="14" t="s">
        <v>379</v>
      </c>
      <c r="D166" s="14" t="s">
        <v>367</v>
      </c>
      <c r="E166" s="40" t="s">
        <v>550</v>
      </c>
      <c r="F166" s="58" t="s">
        <v>66</v>
      </c>
      <c r="G166" s="41">
        <f>10000+13500</f>
        <v>23500</v>
      </c>
    </row>
    <row r="167" spans="1:7" s="11" customFormat="1" ht="60.75" customHeight="1">
      <c r="A167" s="201" t="s">
        <v>584</v>
      </c>
      <c r="B167" s="14" t="s">
        <v>365</v>
      </c>
      <c r="C167" s="14" t="s">
        <v>379</v>
      </c>
      <c r="D167" s="14" t="s">
        <v>367</v>
      </c>
      <c r="E167" s="40" t="s">
        <v>581</v>
      </c>
      <c r="F167" s="58"/>
      <c r="G167" s="41">
        <f>G168+G171</f>
        <v>10100</v>
      </c>
    </row>
    <row r="168" spans="1:7" s="11" customFormat="1" ht="63" customHeight="1">
      <c r="A168" s="201" t="s">
        <v>585</v>
      </c>
      <c r="B168" s="14" t="s">
        <v>365</v>
      </c>
      <c r="C168" s="14" t="s">
        <v>379</v>
      </c>
      <c r="D168" s="14" t="s">
        <v>367</v>
      </c>
      <c r="E168" s="40" t="s">
        <v>581</v>
      </c>
      <c r="F168" s="58"/>
      <c r="G168" s="41">
        <f>G169</f>
        <v>6100</v>
      </c>
    </row>
    <row r="169" spans="1:7" s="11" customFormat="1" ht="29.25" customHeight="1">
      <c r="A169" s="199" t="s">
        <v>110</v>
      </c>
      <c r="B169" s="14" t="s">
        <v>365</v>
      </c>
      <c r="C169" s="14" t="s">
        <v>379</v>
      </c>
      <c r="D169" s="14" t="s">
        <v>367</v>
      </c>
      <c r="E169" s="40" t="s">
        <v>581</v>
      </c>
      <c r="F169" s="58" t="s">
        <v>111</v>
      </c>
      <c r="G169" s="41">
        <f>G170</f>
        <v>6100</v>
      </c>
    </row>
    <row r="170" spans="1:7" s="11" customFormat="1" ht="45.75" customHeight="1">
      <c r="A170" s="200" t="s">
        <v>580</v>
      </c>
      <c r="B170" s="14" t="s">
        <v>365</v>
      </c>
      <c r="C170" s="14" t="s">
        <v>379</v>
      </c>
      <c r="D170" s="14" t="s">
        <v>367</v>
      </c>
      <c r="E170" s="40" t="s">
        <v>581</v>
      </c>
      <c r="F170" s="58" t="s">
        <v>237</v>
      </c>
      <c r="G170" s="41">
        <v>6100</v>
      </c>
    </row>
    <row r="171" spans="1:7" s="11" customFormat="1" ht="58.5" customHeight="1">
      <c r="A171" s="201" t="s">
        <v>586</v>
      </c>
      <c r="B171" s="14" t="s">
        <v>365</v>
      </c>
      <c r="C171" s="14" t="s">
        <v>379</v>
      </c>
      <c r="D171" s="14" t="s">
        <v>367</v>
      </c>
      <c r="E171" s="40" t="s">
        <v>581</v>
      </c>
      <c r="F171" s="58"/>
      <c r="G171" s="41">
        <f>G172</f>
        <v>4000</v>
      </c>
    </row>
    <row r="172" spans="1:7" s="11" customFormat="1" ht="26.25" customHeight="1">
      <c r="A172" s="199" t="s">
        <v>110</v>
      </c>
      <c r="B172" s="14" t="s">
        <v>365</v>
      </c>
      <c r="C172" s="14" t="s">
        <v>379</v>
      </c>
      <c r="D172" s="14" t="s">
        <v>367</v>
      </c>
      <c r="E172" s="40" t="s">
        <v>581</v>
      </c>
      <c r="F172" s="58" t="s">
        <v>111</v>
      </c>
      <c r="G172" s="41">
        <f>G173</f>
        <v>4000</v>
      </c>
    </row>
    <row r="173" spans="1:7" s="11" customFormat="1" ht="45" customHeight="1">
      <c r="A173" s="200" t="s">
        <v>580</v>
      </c>
      <c r="B173" s="14" t="s">
        <v>365</v>
      </c>
      <c r="C173" s="14" t="s">
        <v>379</v>
      </c>
      <c r="D173" s="14" t="s">
        <v>367</v>
      </c>
      <c r="E173" s="40" t="s">
        <v>581</v>
      </c>
      <c r="F173" s="58" t="s">
        <v>237</v>
      </c>
      <c r="G173" s="41">
        <v>4000</v>
      </c>
    </row>
    <row r="174" spans="1:8" s="11" customFormat="1" ht="15.75">
      <c r="A174" s="54" t="s">
        <v>252</v>
      </c>
      <c r="B174" s="14" t="s">
        <v>365</v>
      </c>
      <c r="C174" s="14" t="s">
        <v>379</v>
      </c>
      <c r="D174" s="14" t="s">
        <v>372</v>
      </c>
      <c r="E174" s="60"/>
      <c r="F174" s="14"/>
      <c r="G174" s="71">
        <f>G175</f>
        <v>72290.89465</v>
      </c>
      <c r="H174" s="47"/>
    </row>
    <row r="175" spans="1:7" s="11" customFormat="1" ht="47.25">
      <c r="A175" s="50" t="s">
        <v>187</v>
      </c>
      <c r="B175" s="14" t="s">
        <v>365</v>
      </c>
      <c r="C175" s="14" t="s">
        <v>379</v>
      </c>
      <c r="D175" s="14" t="s">
        <v>372</v>
      </c>
      <c r="E175" s="43" t="s">
        <v>188</v>
      </c>
      <c r="F175" s="43"/>
      <c r="G175" s="65">
        <f>G176</f>
        <v>72290.89465</v>
      </c>
    </row>
    <row r="176" spans="1:7" s="11" customFormat="1" ht="31.5">
      <c r="A176" s="50" t="s">
        <v>254</v>
      </c>
      <c r="B176" s="14" t="s">
        <v>365</v>
      </c>
      <c r="C176" s="14" t="s">
        <v>379</v>
      </c>
      <c r="D176" s="14" t="s">
        <v>372</v>
      </c>
      <c r="E176" s="43" t="s">
        <v>255</v>
      </c>
      <c r="F176" s="43"/>
      <c r="G176" s="65">
        <f>G177+G190+G204</f>
        <v>72290.89465</v>
      </c>
    </row>
    <row r="177" spans="1:7" s="11" customFormat="1" ht="31.5">
      <c r="A177" s="55" t="s">
        <v>256</v>
      </c>
      <c r="B177" s="14" t="s">
        <v>365</v>
      </c>
      <c r="C177" s="14" t="s">
        <v>379</v>
      </c>
      <c r="D177" s="14" t="s">
        <v>372</v>
      </c>
      <c r="E177" s="43" t="s">
        <v>257</v>
      </c>
      <c r="F177" s="43"/>
      <c r="G177" s="65">
        <f>G178+G181+G184+G187</f>
        <v>29281.815</v>
      </c>
    </row>
    <row r="178" spans="1:7" s="11" customFormat="1" ht="22.5" customHeight="1">
      <c r="A178" s="50" t="s">
        <v>258</v>
      </c>
      <c r="B178" s="14" t="s">
        <v>365</v>
      </c>
      <c r="C178" s="14" t="s">
        <v>379</v>
      </c>
      <c r="D178" s="14" t="s">
        <v>372</v>
      </c>
      <c r="E178" s="43" t="s">
        <v>259</v>
      </c>
      <c r="F178" s="43"/>
      <c r="G178" s="65">
        <f>G179</f>
        <v>18462.083</v>
      </c>
    </row>
    <row r="179" spans="1:7" s="11" customFormat="1" ht="31.5">
      <c r="A179" s="50" t="s">
        <v>260</v>
      </c>
      <c r="B179" s="14" t="s">
        <v>365</v>
      </c>
      <c r="C179" s="14" t="s">
        <v>379</v>
      </c>
      <c r="D179" s="14" t="s">
        <v>372</v>
      </c>
      <c r="E179" s="43" t="s">
        <v>259</v>
      </c>
      <c r="F179" s="43" t="s">
        <v>261</v>
      </c>
      <c r="G179" s="49">
        <f>G180</f>
        <v>18462.083</v>
      </c>
    </row>
    <row r="180" spans="1:7" s="11" customFormat="1" ht="31.5">
      <c r="A180" s="50" t="s">
        <v>262</v>
      </c>
      <c r="B180" s="14" t="s">
        <v>365</v>
      </c>
      <c r="C180" s="14" t="s">
        <v>379</v>
      </c>
      <c r="D180" s="14" t="s">
        <v>372</v>
      </c>
      <c r="E180" s="43" t="s">
        <v>259</v>
      </c>
      <c r="F180" s="43" t="s">
        <v>263</v>
      </c>
      <c r="G180" s="49">
        <f>15293.4+1324.4+830+425.083+89.2+500</f>
        <v>18462.083</v>
      </c>
    </row>
    <row r="181" spans="1:7" s="11" customFormat="1" ht="21" customHeight="1">
      <c r="A181" s="50" t="s">
        <v>264</v>
      </c>
      <c r="B181" s="14" t="s">
        <v>365</v>
      </c>
      <c r="C181" s="14" t="s">
        <v>379</v>
      </c>
      <c r="D181" s="14" t="s">
        <v>372</v>
      </c>
      <c r="E181" s="43" t="s">
        <v>265</v>
      </c>
      <c r="F181" s="43"/>
      <c r="G181" s="65">
        <f>G182</f>
        <v>5658.2</v>
      </c>
    </row>
    <row r="182" spans="1:7" s="11" customFormat="1" ht="31.5">
      <c r="A182" s="50" t="s">
        <v>260</v>
      </c>
      <c r="B182" s="14" t="s">
        <v>365</v>
      </c>
      <c r="C182" s="14" t="s">
        <v>379</v>
      </c>
      <c r="D182" s="14" t="s">
        <v>372</v>
      </c>
      <c r="E182" s="43" t="s">
        <v>265</v>
      </c>
      <c r="F182" s="43" t="s">
        <v>261</v>
      </c>
      <c r="G182" s="49">
        <f>G183</f>
        <v>5658.2</v>
      </c>
    </row>
    <row r="183" spans="1:7" s="11" customFormat="1" ht="31.5">
      <c r="A183" s="50" t="s">
        <v>262</v>
      </c>
      <c r="B183" s="14" t="s">
        <v>365</v>
      </c>
      <c r="C183" s="14" t="s">
        <v>379</v>
      </c>
      <c r="D183" s="14" t="s">
        <v>372</v>
      </c>
      <c r="E183" s="43" t="s">
        <v>265</v>
      </c>
      <c r="F183" s="43" t="s">
        <v>263</v>
      </c>
      <c r="G183" s="49">
        <f>5423.2+235</f>
        <v>5658.2</v>
      </c>
    </row>
    <row r="184" spans="1:7" s="11" customFormat="1" ht="31.5">
      <c r="A184" s="50" t="s">
        <v>266</v>
      </c>
      <c r="B184" s="14" t="s">
        <v>365</v>
      </c>
      <c r="C184" s="14" t="s">
        <v>379</v>
      </c>
      <c r="D184" s="14" t="s">
        <v>372</v>
      </c>
      <c r="E184" s="43" t="s">
        <v>267</v>
      </c>
      <c r="F184" s="35"/>
      <c r="G184" s="49">
        <f>G185</f>
        <v>5061.532</v>
      </c>
    </row>
    <row r="185" spans="1:7" s="11" customFormat="1" ht="31.5">
      <c r="A185" s="15" t="s">
        <v>106</v>
      </c>
      <c r="B185" s="14" t="s">
        <v>365</v>
      </c>
      <c r="C185" s="14" t="s">
        <v>379</v>
      </c>
      <c r="D185" s="14" t="s">
        <v>372</v>
      </c>
      <c r="E185" s="43" t="s">
        <v>267</v>
      </c>
      <c r="F185" s="43" t="s">
        <v>107</v>
      </c>
      <c r="G185" s="49">
        <f>G186</f>
        <v>5061.532</v>
      </c>
    </row>
    <row r="186" spans="1:7" s="11" customFormat="1" ht="31.5">
      <c r="A186" s="15" t="s">
        <v>108</v>
      </c>
      <c r="B186" s="14" t="s">
        <v>365</v>
      </c>
      <c r="C186" s="14" t="s">
        <v>379</v>
      </c>
      <c r="D186" s="14" t="s">
        <v>372</v>
      </c>
      <c r="E186" s="43" t="s">
        <v>267</v>
      </c>
      <c r="F186" s="43" t="s">
        <v>109</v>
      </c>
      <c r="G186" s="49">
        <f>4236.6+409.732+415.2</f>
        <v>5061.532</v>
      </c>
    </row>
    <row r="187" spans="1:7" s="11" customFormat="1" ht="31.5">
      <c r="A187" s="50" t="s">
        <v>268</v>
      </c>
      <c r="B187" s="14" t="s">
        <v>365</v>
      </c>
      <c r="C187" s="14" t="s">
        <v>379</v>
      </c>
      <c r="D187" s="14" t="s">
        <v>372</v>
      </c>
      <c r="E187" s="43" t="s">
        <v>269</v>
      </c>
      <c r="F187" s="35"/>
      <c r="G187" s="49">
        <f>G188</f>
        <v>100</v>
      </c>
    </row>
    <row r="188" spans="1:7" s="11" customFormat="1" ht="31.5">
      <c r="A188" s="15" t="s">
        <v>106</v>
      </c>
      <c r="B188" s="14" t="s">
        <v>365</v>
      </c>
      <c r="C188" s="14" t="s">
        <v>379</v>
      </c>
      <c r="D188" s="14" t="s">
        <v>372</v>
      </c>
      <c r="E188" s="43" t="s">
        <v>269</v>
      </c>
      <c r="F188" s="43" t="s">
        <v>107</v>
      </c>
      <c r="G188" s="49">
        <f>G189</f>
        <v>100</v>
      </c>
    </row>
    <row r="189" spans="1:7" s="11" customFormat="1" ht="31.5">
      <c r="A189" s="15" t="s">
        <v>108</v>
      </c>
      <c r="B189" s="14" t="s">
        <v>365</v>
      </c>
      <c r="C189" s="14" t="s">
        <v>379</v>
      </c>
      <c r="D189" s="14" t="s">
        <v>372</v>
      </c>
      <c r="E189" s="43" t="s">
        <v>269</v>
      </c>
      <c r="F189" s="43" t="s">
        <v>109</v>
      </c>
      <c r="G189" s="49">
        <v>100</v>
      </c>
    </row>
    <row r="190" spans="1:7" s="11" customFormat="1" ht="22.5" customHeight="1">
      <c r="A190" s="55" t="s">
        <v>270</v>
      </c>
      <c r="B190" s="14" t="s">
        <v>365</v>
      </c>
      <c r="C190" s="14" t="s">
        <v>379</v>
      </c>
      <c r="D190" s="14" t="s">
        <v>372</v>
      </c>
      <c r="E190" s="43" t="s">
        <v>271</v>
      </c>
      <c r="F190" s="43"/>
      <c r="G190" s="49">
        <f>G191+G194+G201+G198</f>
        <v>21184.199650000002</v>
      </c>
    </row>
    <row r="191" spans="1:7" s="11" customFormat="1" ht="31.5">
      <c r="A191" s="50" t="s">
        <v>272</v>
      </c>
      <c r="B191" s="14" t="s">
        <v>365</v>
      </c>
      <c r="C191" s="14" t="s">
        <v>379</v>
      </c>
      <c r="D191" s="14" t="s">
        <v>372</v>
      </c>
      <c r="E191" s="43" t="s">
        <v>273</v>
      </c>
      <c r="F191" s="43"/>
      <c r="G191" s="49">
        <f>G192</f>
        <v>4332.5</v>
      </c>
    </row>
    <row r="192" spans="1:7" s="11" customFormat="1" ht="31.5">
      <c r="A192" s="15" t="s">
        <v>106</v>
      </c>
      <c r="B192" s="14" t="s">
        <v>365</v>
      </c>
      <c r="C192" s="14" t="s">
        <v>379</v>
      </c>
      <c r="D192" s="14" t="s">
        <v>372</v>
      </c>
      <c r="E192" s="43" t="s">
        <v>273</v>
      </c>
      <c r="F192" s="43" t="s">
        <v>107</v>
      </c>
      <c r="G192" s="49">
        <f>G193</f>
        <v>4332.5</v>
      </c>
    </row>
    <row r="193" spans="1:7" s="11" customFormat="1" ht="19.5" customHeight="1">
      <c r="A193" s="15" t="s">
        <v>108</v>
      </c>
      <c r="B193" s="14" t="s">
        <v>365</v>
      </c>
      <c r="C193" s="14" t="s">
        <v>379</v>
      </c>
      <c r="D193" s="14" t="s">
        <v>372</v>
      </c>
      <c r="E193" s="43" t="s">
        <v>273</v>
      </c>
      <c r="F193" s="43" t="s">
        <v>109</v>
      </c>
      <c r="G193" s="49">
        <f>4513-180.5</f>
        <v>4332.5</v>
      </c>
    </row>
    <row r="194" spans="1:7" s="11" customFormat="1" ht="31.5">
      <c r="A194" s="15" t="s">
        <v>274</v>
      </c>
      <c r="B194" s="14" t="s">
        <v>365</v>
      </c>
      <c r="C194" s="14" t="s">
        <v>379</v>
      </c>
      <c r="D194" s="14" t="s">
        <v>372</v>
      </c>
      <c r="E194" s="43" t="s">
        <v>275</v>
      </c>
      <c r="F194" s="43"/>
      <c r="G194" s="49">
        <f>G195</f>
        <v>6221.219999999999</v>
      </c>
    </row>
    <row r="195" spans="1:7" s="11" customFormat="1" ht="31.5">
      <c r="A195" s="15" t="s">
        <v>106</v>
      </c>
      <c r="B195" s="14" t="s">
        <v>365</v>
      </c>
      <c r="C195" s="14" t="s">
        <v>379</v>
      </c>
      <c r="D195" s="14" t="s">
        <v>372</v>
      </c>
      <c r="E195" s="43" t="s">
        <v>275</v>
      </c>
      <c r="F195" s="43" t="s">
        <v>107</v>
      </c>
      <c r="G195" s="49">
        <f>G196</f>
        <v>6221.219999999999</v>
      </c>
    </row>
    <row r="196" spans="1:7" s="11" customFormat="1" ht="31.5">
      <c r="A196" s="15" t="s">
        <v>108</v>
      </c>
      <c r="B196" s="14" t="s">
        <v>365</v>
      </c>
      <c r="C196" s="14" t="s">
        <v>379</v>
      </c>
      <c r="D196" s="14" t="s">
        <v>372</v>
      </c>
      <c r="E196" s="43" t="s">
        <v>275</v>
      </c>
      <c r="F196" s="43" t="s">
        <v>109</v>
      </c>
      <c r="G196" s="49">
        <f>4000+2196.22+25</f>
        <v>6221.219999999999</v>
      </c>
    </row>
    <row r="197" spans="1:7" s="11" customFormat="1" ht="31.5">
      <c r="A197" s="50" t="s">
        <v>195</v>
      </c>
      <c r="B197" s="14" t="s">
        <v>365</v>
      </c>
      <c r="C197" s="14" t="s">
        <v>379</v>
      </c>
      <c r="D197" s="14" t="s">
        <v>372</v>
      </c>
      <c r="E197" s="43" t="s">
        <v>276</v>
      </c>
      <c r="F197" s="43"/>
      <c r="G197" s="49">
        <f>G198</f>
        <v>7847.120000000001</v>
      </c>
    </row>
    <row r="198" spans="1:7" s="11" customFormat="1" ht="47.25">
      <c r="A198" s="18" t="s">
        <v>277</v>
      </c>
      <c r="B198" s="14" t="s">
        <v>365</v>
      </c>
      <c r="C198" s="14" t="s">
        <v>379</v>
      </c>
      <c r="D198" s="14" t="s">
        <v>372</v>
      </c>
      <c r="E198" s="43" t="s">
        <v>278</v>
      </c>
      <c r="F198" s="43"/>
      <c r="G198" s="49">
        <f>G199</f>
        <v>7847.120000000001</v>
      </c>
    </row>
    <row r="199" spans="1:7" s="11" customFormat="1" ht="31.5">
      <c r="A199" s="15" t="s">
        <v>106</v>
      </c>
      <c r="B199" s="14" t="s">
        <v>365</v>
      </c>
      <c r="C199" s="14" t="s">
        <v>379</v>
      </c>
      <c r="D199" s="14" t="s">
        <v>372</v>
      </c>
      <c r="E199" s="43" t="s">
        <v>278</v>
      </c>
      <c r="F199" s="43" t="s">
        <v>107</v>
      </c>
      <c r="G199" s="49">
        <f>G200</f>
        <v>7847.120000000001</v>
      </c>
    </row>
    <row r="200" spans="1:7" s="11" customFormat="1" ht="31.5">
      <c r="A200" s="15" t="s">
        <v>108</v>
      </c>
      <c r="B200" s="14" t="s">
        <v>365</v>
      </c>
      <c r="C200" s="14" t="s">
        <v>379</v>
      </c>
      <c r="D200" s="14" t="s">
        <v>372</v>
      </c>
      <c r="E200" s="43" t="s">
        <v>278</v>
      </c>
      <c r="F200" s="43" t="s">
        <v>109</v>
      </c>
      <c r="G200" s="49">
        <f>6513.83+1420.19-86.9</f>
        <v>7847.120000000001</v>
      </c>
    </row>
    <row r="201" spans="1:7" s="11" customFormat="1" ht="31.5">
      <c r="A201" s="50" t="s">
        <v>279</v>
      </c>
      <c r="B201" s="14" t="s">
        <v>365</v>
      </c>
      <c r="C201" s="14" t="s">
        <v>379</v>
      </c>
      <c r="D201" s="14" t="s">
        <v>372</v>
      </c>
      <c r="E201" s="43" t="s">
        <v>280</v>
      </c>
      <c r="F201" s="43"/>
      <c r="G201" s="49">
        <f>G202</f>
        <v>2783.359650000001</v>
      </c>
    </row>
    <row r="202" spans="1:7" s="11" customFormat="1" ht="31.5">
      <c r="A202" s="15" t="s">
        <v>106</v>
      </c>
      <c r="B202" s="14" t="s">
        <v>365</v>
      </c>
      <c r="C202" s="14" t="s">
        <v>379</v>
      </c>
      <c r="D202" s="14" t="s">
        <v>372</v>
      </c>
      <c r="E202" s="43" t="s">
        <v>280</v>
      </c>
      <c r="F202" s="43" t="s">
        <v>107</v>
      </c>
      <c r="G202" s="49">
        <f>G203</f>
        <v>2783.359650000001</v>
      </c>
    </row>
    <row r="203" spans="1:7" s="11" customFormat="1" ht="31.5">
      <c r="A203" s="15" t="s">
        <v>108</v>
      </c>
      <c r="B203" s="14" t="s">
        <v>365</v>
      </c>
      <c r="C203" s="14" t="s">
        <v>379</v>
      </c>
      <c r="D203" s="14" t="s">
        <v>372</v>
      </c>
      <c r="E203" s="43" t="s">
        <v>280</v>
      </c>
      <c r="F203" s="43" t="s">
        <v>109</v>
      </c>
      <c r="G203" s="49">
        <f>1300-517.6+110.2+1039.2-70.4+450.13025+331.7294+110.8-15.7+45</f>
        <v>2783.359650000001</v>
      </c>
    </row>
    <row r="204" spans="1:7" s="11" customFormat="1" ht="31.5">
      <c r="A204" s="55" t="s">
        <v>286</v>
      </c>
      <c r="B204" s="14" t="s">
        <v>365</v>
      </c>
      <c r="C204" s="14" t="s">
        <v>379</v>
      </c>
      <c r="D204" s="14" t="s">
        <v>372</v>
      </c>
      <c r="E204" s="43" t="s">
        <v>287</v>
      </c>
      <c r="F204" s="43"/>
      <c r="G204" s="49">
        <f>G205+G208</f>
        <v>21824.88</v>
      </c>
    </row>
    <row r="205" spans="1:7" s="11" customFormat="1" ht="31.5">
      <c r="A205" s="50" t="s">
        <v>288</v>
      </c>
      <c r="B205" s="14" t="s">
        <v>365</v>
      </c>
      <c r="C205" s="14" t="s">
        <v>379</v>
      </c>
      <c r="D205" s="14" t="s">
        <v>372</v>
      </c>
      <c r="E205" s="43" t="s">
        <v>289</v>
      </c>
      <c r="F205" s="43"/>
      <c r="G205" s="49">
        <f>G206</f>
        <v>21747</v>
      </c>
    </row>
    <row r="206" spans="1:7" s="11" customFormat="1" ht="31.5">
      <c r="A206" s="15" t="s">
        <v>106</v>
      </c>
      <c r="B206" s="14" t="s">
        <v>365</v>
      </c>
      <c r="C206" s="14" t="s">
        <v>379</v>
      </c>
      <c r="D206" s="14" t="s">
        <v>372</v>
      </c>
      <c r="E206" s="43" t="s">
        <v>289</v>
      </c>
      <c r="F206" s="43" t="s">
        <v>107</v>
      </c>
      <c r="G206" s="49">
        <f>G207</f>
        <v>21747</v>
      </c>
    </row>
    <row r="207" spans="1:7" s="11" customFormat="1" ht="31.5">
      <c r="A207" s="15" t="s">
        <v>108</v>
      </c>
      <c r="B207" s="14" t="s">
        <v>365</v>
      </c>
      <c r="C207" s="14" t="s">
        <v>379</v>
      </c>
      <c r="D207" s="14" t="s">
        <v>372</v>
      </c>
      <c r="E207" s="43" t="s">
        <v>289</v>
      </c>
      <c r="F207" s="43" t="s">
        <v>109</v>
      </c>
      <c r="G207" s="49">
        <f>2400-2000+750+200+90+550+60050-37750-7000-1000+1200-200+2877+1080+500</f>
        <v>21747</v>
      </c>
    </row>
    <row r="208" spans="1:7" s="11" customFormat="1" ht="31.5">
      <c r="A208" s="50" t="s">
        <v>600</v>
      </c>
      <c r="B208" s="14" t="s">
        <v>365</v>
      </c>
      <c r="C208" s="14" t="s">
        <v>379</v>
      </c>
      <c r="D208" s="14" t="s">
        <v>372</v>
      </c>
      <c r="E208" s="43" t="s">
        <v>287</v>
      </c>
      <c r="F208" s="43"/>
      <c r="G208" s="49">
        <f>G209+G212</f>
        <v>77.87999999999978</v>
      </c>
    </row>
    <row r="209" spans="1:7" s="11" customFormat="1" ht="31.5">
      <c r="A209" s="56" t="s">
        <v>290</v>
      </c>
      <c r="B209" s="14" t="s">
        <v>365</v>
      </c>
      <c r="C209" s="14" t="s">
        <v>379</v>
      </c>
      <c r="D209" s="14" t="s">
        <v>372</v>
      </c>
      <c r="E209" s="43" t="s">
        <v>601</v>
      </c>
      <c r="F209" s="43"/>
      <c r="G209" s="49">
        <f>G210</f>
        <v>77.89</v>
      </c>
    </row>
    <row r="210" spans="1:7" s="11" customFormat="1" ht="31.5">
      <c r="A210" s="15" t="s">
        <v>106</v>
      </c>
      <c r="B210" s="14" t="s">
        <v>365</v>
      </c>
      <c r="C210" s="14" t="s">
        <v>379</v>
      </c>
      <c r="D210" s="14" t="s">
        <v>372</v>
      </c>
      <c r="E210" s="43" t="s">
        <v>601</v>
      </c>
      <c r="F210" s="43" t="s">
        <v>107</v>
      </c>
      <c r="G210" s="49">
        <f>G211</f>
        <v>77.89</v>
      </c>
    </row>
    <row r="211" spans="1:7" s="11" customFormat="1" ht="31.5">
      <c r="A211" s="15" t="s">
        <v>108</v>
      </c>
      <c r="B211" s="14" t="s">
        <v>365</v>
      </c>
      <c r="C211" s="14" t="s">
        <v>379</v>
      </c>
      <c r="D211" s="14" t="s">
        <v>372</v>
      </c>
      <c r="E211" s="43" t="s">
        <v>601</v>
      </c>
      <c r="F211" s="43" t="s">
        <v>109</v>
      </c>
      <c r="G211" s="49">
        <v>77.89</v>
      </c>
    </row>
    <row r="212" spans="1:7" s="11" customFormat="1" ht="31.5" hidden="1">
      <c r="A212" s="56" t="s">
        <v>291</v>
      </c>
      <c r="B212" s="14" t="s">
        <v>365</v>
      </c>
      <c r="C212" s="14" t="s">
        <v>379</v>
      </c>
      <c r="D212" s="14" t="s">
        <v>372</v>
      </c>
      <c r="E212" s="43" t="s">
        <v>292</v>
      </c>
      <c r="F212" s="43"/>
      <c r="G212" s="49">
        <f>G213</f>
        <v>-0.010000000000218279</v>
      </c>
    </row>
    <row r="213" spans="1:7" s="11" customFormat="1" ht="31.5" hidden="1">
      <c r="A213" s="15" t="s">
        <v>106</v>
      </c>
      <c r="B213" s="14" t="s">
        <v>365</v>
      </c>
      <c r="C213" s="14" t="s">
        <v>379</v>
      </c>
      <c r="D213" s="14" t="s">
        <v>372</v>
      </c>
      <c r="E213" s="43" t="s">
        <v>292</v>
      </c>
      <c r="F213" s="43" t="s">
        <v>107</v>
      </c>
      <c r="G213" s="49">
        <f>G214</f>
        <v>-0.010000000000218279</v>
      </c>
    </row>
    <row r="214" spans="1:7" s="11" customFormat="1" ht="31.5" hidden="1">
      <c r="A214" s="15" t="s">
        <v>108</v>
      </c>
      <c r="B214" s="14" t="s">
        <v>365</v>
      </c>
      <c r="C214" s="14" t="s">
        <v>379</v>
      </c>
      <c r="D214" s="14" t="s">
        <v>372</v>
      </c>
      <c r="E214" s="43" t="s">
        <v>292</v>
      </c>
      <c r="F214" s="43" t="s">
        <v>109</v>
      </c>
      <c r="G214" s="49">
        <f>5673.79+1237-6910.8</f>
        <v>-0.010000000000218279</v>
      </c>
    </row>
    <row r="215" spans="1:7" s="11" customFormat="1" ht="15.75">
      <c r="A215" s="44" t="s">
        <v>293</v>
      </c>
      <c r="B215" s="14" t="s">
        <v>365</v>
      </c>
      <c r="C215" s="14" t="s">
        <v>369</v>
      </c>
      <c r="D215" s="14"/>
      <c r="E215" s="86"/>
      <c r="F215" s="86"/>
      <c r="G215" s="87">
        <f>G216</f>
        <v>60</v>
      </c>
    </row>
    <row r="216" spans="1:7" s="11" customFormat="1" ht="31.5">
      <c r="A216" s="15" t="s">
        <v>295</v>
      </c>
      <c r="B216" s="14" t="s">
        <v>365</v>
      </c>
      <c r="C216" s="14" t="s">
        <v>369</v>
      </c>
      <c r="D216" s="14" t="s">
        <v>369</v>
      </c>
      <c r="E216" s="43"/>
      <c r="F216" s="14"/>
      <c r="G216" s="49">
        <f>G217</f>
        <v>60</v>
      </c>
    </row>
    <row r="217" spans="1:7" s="11" customFormat="1" ht="31.5">
      <c r="A217" s="15" t="s">
        <v>106</v>
      </c>
      <c r="B217" s="14" t="s">
        <v>365</v>
      </c>
      <c r="C217" s="14" t="s">
        <v>369</v>
      </c>
      <c r="D217" s="14" t="s">
        <v>369</v>
      </c>
      <c r="E217" s="43" t="s">
        <v>298</v>
      </c>
      <c r="F217" s="14" t="s">
        <v>107</v>
      </c>
      <c r="G217" s="49">
        <f>G218</f>
        <v>60</v>
      </c>
    </row>
    <row r="218" spans="1:7" s="11" customFormat="1" ht="31.5">
      <c r="A218" s="15" t="s">
        <v>108</v>
      </c>
      <c r="B218" s="14" t="s">
        <v>365</v>
      </c>
      <c r="C218" s="14" t="s">
        <v>369</v>
      </c>
      <c r="D218" s="14" t="s">
        <v>369</v>
      </c>
      <c r="E218" s="43" t="s">
        <v>298</v>
      </c>
      <c r="F218" s="14" t="s">
        <v>109</v>
      </c>
      <c r="G218" s="49">
        <f>1022-962</f>
        <v>60</v>
      </c>
    </row>
    <row r="219" spans="1:7" s="11" customFormat="1" ht="15.75">
      <c r="A219" s="44" t="s">
        <v>299</v>
      </c>
      <c r="B219" s="14" t="s">
        <v>365</v>
      </c>
      <c r="C219" s="14" t="s">
        <v>384</v>
      </c>
      <c r="D219" s="14"/>
      <c r="E219" s="82"/>
      <c r="F219" s="82"/>
      <c r="G219" s="71">
        <f>G220</f>
        <v>40826.1</v>
      </c>
    </row>
    <row r="220" spans="1:7" s="11" customFormat="1" ht="15.75">
      <c r="A220" s="46" t="s">
        <v>301</v>
      </c>
      <c r="B220" s="14" t="s">
        <v>365</v>
      </c>
      <c r="C220" s="14" t="s">
        <v>384</v>
      </c>
      <c r="D220" s="14" t="s">
        <v>366</v>
      </c>
      <c r="E220" s="14"/>
      <c r="F220" s="14"/>
      <c r="G220" s="49">
        <f>G221</f>
        <v>40826.1</v>
      </c>
    </row>
    <row r="221" spans="1:7" s="11" customFormat="1" ht="31.5">
      <c r="A221" s="15" t="s">
        <v>303</v>
      </c>
      <c r="B221" s="14" t="s">
        <v>365</v>
      </c>
      <c r="C221" s="14" t="s">
        <v>384</v>
      </c>
      <c r="D221" s="14" t="s">
        <v>366</v>
      </c>
      <c r="E221" s="43" t="s">
        <v>304</v>
      </c>
      <c r="F221" s="1"/>
      <c r="G221" s="49">
        <f>G222+G226+G229</f>
        <v>40826.1</v>
      </c>
    </row>
    <row r="222" spans="1:7" s="11" customFormat="1" ht="31.5">
      <c r="A222" s="50" t="s">
        <v>305</v>
      </c>
      <c r="B222" s="14" t="s">
        <v>365</v>
      </c>
      <c r="C222" s="14" t="s">
        <v>384</v>
      </c>
      <c r="D222" s="14" t="s">
        <v>366</v>
      </c>
      <c r="E222" s="40" t="s">
        <v>306</v>
      </c>
      <c r="F222" s="1"/>
      <c r="G222" s="49">
        <f>G223</f>
        <v>33246.1</v>
      </c>
    </row>
    <row r="223" spans="1:7" s="11" customFormat="1" ht="15.75">
      <c r="A223" s="50" t="s">
        <v>307</v>
      </c>
      <c r="B223" s="14" t="s">
        <v>365</v>
      </c>
      <c r="C223" s="14" t="s">
        <v>384</v>
      </c>
      <c r="D223" s="14" t="s">
        <v>366</v>
      </c>
      <c r="E223" s="40" t="s">
        <v>306</v>
      </c>
      <c r="F223" s="1"/>
      <c r="G223" s="49">
        <f>G224</f>
        <v>33246.1</v>
      </c>
    </row>
    <row r="224" spans="1:7" s="11" customFormat="1" ht="31.5">
      <c r="A224" s="50" t="s">
        <v>260</v>
      </c>
      <c r="B224" s="14" t="s">
        <v>365</v>
      </c>
      <c r="C224" s="14" t="s">
        <v>384</v>
      </c>
      <c r="D224" s="14" t="s">
        <v>366</v>
      </c>
      <c r="E224" s="40" t="s">
        <v>306</v>
      </c>
      <c r="F224" s="1" t="s">
        <v>261</v>
      </c>
      <c r="G224" s="49">
        <f>G225</f>
        <v>33246.1</v>
      </c>
    </row>
    <row r="225" spans="1:7" s="11" customFormat="1" ht="15.75">
      <c r="A225" s="50" t="s">
        <v>262</v>
      </c>
      <c r="B225" s="14" t="s">
        <v>365</v>
      </c>
      <c r="C225" s="14" t="s">
        <v>384</v>
      </c>
      <c r="D225" s="14" t="s">
        <v>366</v>
      </c>
      <c r="E225" s="40" t="s">
        <v>306</v>
      </c>
      <c r="F225" s="1" t="s">
        <v>263</v>
      </c>
      <c r="G225" s="49">
        <f>26729.1+1097-647+420+1000+4647</f>
        <v>33246.1</v>
      </c>
    </row>
    <row r="226" spans="1:7" s="11" customFormat="1" ht="31.5">
      <c r="A226" s="50" t="s">
        <v>308</v>
      </c>
      <c r="B226" s="14" t="s">
        <v>365</v>
      </c>
      <c r="C226" s="14" t="s">
        <v>384</v>
      </c>
      <c r="D226" s="14" t="s">
        <v>366</v>
      </c>
      <c r="E226" s="40" t="s">
        <v>309</v>
      </c>
      <c r="F226" s="14"/>
      <c r="G226" s="49">
        <f>G227</f>
        <v>7500</v>
      </c>
    </row>
    <row r="227" spans="1:7" s="11" customFormat="1" ht="15.75">
      <c r="A227" s="50" t="s">
        <v>106</v>
      </c>
      <c r="B227" s="14" t="s">
        <v>365</v>
      </c>
      <c r="C227" s="14" t="s">
        <v>384</v>
      </c>
      <c r="D227" s="14" t="s">
        <v>366</v>
      </c>
      <c r="E227" s="40" t="s">
        <v>309</v>
      </c>
      <c r="F227" s="14" t="s">
        <v>107</v>
      </c>
      <c r="G227" s="49">
        <f>G228</f>
        <v>7500</v>
      </c>
    </row>
    <row r="228" spans="1:7" s="11" customFormat="1" ht="31.5">
      <c r="A228" s="15" t="s">
        <v>108</v>
      </c>
      <c r="B228" s="14" t="s">
        <v>365</v>
      </c>
      <c r="C228" s="14" t="s">
        <v>384</v>
      </c>
      <c r="D228" s="14" t="s">
        <v>366</v>
      </c>
      <c r="E228" s="40" t="s">
        <v>309</v>
      </c>
      <c r="F228" s="14" t="s">
        <v>109</v>
      </c>
      <c r="G228" s="49">
        <f>15500-8000</f>
        <v>7500</v>
      </c>
    </row>
    <row r="229" spans="1:7" s="11" customFormat="1" ht="31.5">
      <c r="A229" s="50" t="s">
        <v>310</v>
      </c>
      <c r="B229" s="14" t="s">
        <v>365</v>
      </c>
      <c r="C229" s="14" t="s">
        <v>384</v>
      </c>
      <c r="D229" s="14" t="s">
        <v>366</v>
      </c>
      <c r="E229" s="40" t="s">
        <v>311</v>
      </c>
      <c r="F229" s="14"/>
      <c r="G229" s="49">
        <f>G230</f>
        <v>80</v>
      </c>
    </row>
    <row r="230" spans="1:7" s="11" customFormat="1" ht="15.75">
      <c r="A230" s="50" t="s">
        <v>312</v>
      </c>
      <c r="B230" s="14" t="s">
        <v>365</v>
      </c>
      <c r="C230" s="14" t="s">
        <v>384</v>
      </c>
      <c r="D230" s="14" t="s">
        <v>366</v>
      </c>
      <c r="E230" s="40" t="s">
        <v>311</v>
      </c>
      <c r="F230" s="1"/>
      <c r="G230" s="49">
        <f>G232</f>
        <v>80</v>
      </c>
    </row>
    <row r="231" spans="1:7" s="11" customFormat="1" ht="15.75">
      <c r="A231" s="50" t="s">
        <v>106</v>
      </c>
      <c r="B231" s="14" t="s">
        <v>365</v>
      </c>
      <c r="C231" s="14" t="s">
        <v>384</v>
      </c>
      <c r="D231" s="14" t="s">
        <v>366</v>
      </c>
      <c r="E231" s="40" t="s">
        <v>311</v>
      </c>
      <c r="F231" s="1" t="s">
        <v>107</v>
      </c>
      <c r="G231" s="49">
        <f>G232</f>
        <v>80</v>
      </c>
    </row>
    <row r="232" spans="1:7" s="11" customFormat="1" ht="31.5">
      <c r="A232" s="15" t="s">
        <v>108</v>
      </c>
      <c r="B232" s="14" t="s">
        <v>365</v>
      </c>
      <c r="C232" s="14" t="s">
        <v>384</v>
      </c>
      <c r="D232" s="14" t="s">
        <v>366</v>
      </c>
      <c r="E232" s="40" t="s">
        <v>311</v>
      </c>
      <c r="F232" s="1" t="s">
        <v>109</v>
      </c>
      <c r="G232" s="49">
        <f>450-420+50</f>
        <v>80</v>
      </c>
    </row>
    <row r="233" spans="1:7" s="11" customFormat="1" ht="15.75">
      <c r="A233" s="45" t="s">
        <v>313</v>
      </c>
      <c r="B233" s="14" t="s">
        <v>365</v>
      </c>
      <c r="C233" s="14" t="s">
        <v>377</v>
      </c>
      <c r="D233" s="1" t="s">
        <v>366</v>
      </c>
      <c r="E233" s="82"/>
      <c r="F233" s="82"/>
      <c r="G233" s="61">
        <f>G234</f>
        <v>850.01</v>
      </c>
    </row>
    <row r="234" spans="1:7" s="11" customFormat="1" ht="15.75">
      <c r="A234" s="46" t="s">
        <v>316</v>
      </c>
      <c r="B234" s="14" t="s">
        <v>365</v>
      </c>
      <c r="C234" s="14" t="s">
        <v>377</v>
      </c>
      <c r="D234" s="1" t="s">
        <v>366</v>
      </c>
      <c r="E234" s="14"/>
      <c r="F234" s="1"/>
      <c r="G234" s="88">
        <f>G235</f>
        <v>850.01</v>
      </c>
    </row>
    <row r="235" spans="1:7" s="11" customFormat="1" ht="31.5">
      <c r="A235" s="42" t="s">
        <v>318</v>
      </c>
      <c r="B235" s="14" t="s">
        <v>365</v>
      </c>
      <c r="C235" s="14" t="s">
        <v>377</v>
      </c>
      <c r="D235" s="1" t="s">
        <v>366</v>
      </c>
      <c r="E235" s="43" t="s">
        <v>317</v>
      </c>
      <c r="F235" s="1"/>
      <c r="G235" s="88">
        <f>G236</f>
        <v>850.01</v>
      </c>
    </row>
    <row r="236" spans="1:7" s="11" customFormat="1" ht="31.5">
      <c r="A236" s="42" t="s">
        <v>319</v>
      </c>
      <c r="B236" s="14" t="s">
        <v>365</v>
      </c>
      <c r="C236" s="14" t="s">
        <v>377</v>
      </c>
      <c r="D236" s="1" t="s">
        <v>366</v>
      </c>
      <c r="E236" s="43" t="s">
        <v>317</v>
      </c>
      <c r="F236" s="1"/>
      <c r="G236" s="88">
        <f>G238</f>
        <v>850.01</v>
      </c>
    </row>
    <row r="237" spans="1:7" s="11" customFormat="1" ht="31.5">
      <c r="A237" s="42" t="s">
        <v>321</v>
      </c>
      <c r="B237" s="14" t="s">
        <v>365</v>
      </c>
      <c r="C237" s="14" t="s">
        <v>377</v>
      </c>
      <c r="D237" s="1" t="s">
        <v>366</v>
      </c>
      <c r="E237" s="43" t="s">
        <v>320</v>
      </c>
      <c r="F237" s="14" t="s">
        <v>322</v>
      </c>
      <c r="G237" s="88">
        <f>G238</f>
        <v>850.01</v>
      </c>
    </row>
    <row r="238" spans="1:7" s="11" customFormat="1" ht="31.5">
      <c r="A238" s="42" t="s">
        <v>323</v>
      </c>
      <c r="B238" s="14" t="s">
        <v>365</v>
      </c>
      <c r="C238" s="14" t="s">
        <v>377</v>
      </c>
      <c r="D238" s="1" t="s">
        <v>366</v>
      </c>
      <c r="E238" s="43" t="s">
        <v>320</v>
      </c>
      <c r="F238" s="14" t="s">
        <v>324</v>
      </c>
      <c r="G238" s="88">
        <f>710+70+70.01</f>
        <v>850.01</v>
      </c>
    </row>
    <row r="239" spans="1:7" s="11" customFormat="1" ht="15.75">
      <c r="A239" s="44" t="s">
        <v>325</v>
      </c>
      <c r="B239" s="14" t="s">
        <v>365</v>
      </c>
      <c r="C239" s="14" t="s">
        <v>370</v>
      </c>
      <c r="D239" s="1"/>
      <c r="E239" s="9"/>
      <c r="F239" s="82"/>
      <c r="G239" s="61">
        <f>G240</f>
        <v>99472.528</v>
      </c>
    </row>
    <row r="240" spans="1:7" s="11" customFormat="1" ht="47.25">
      <c r="A240" s="15" t="s">
        <v>328</v>
      </c>
      <c r="B240" s="14" t="s">
        <v>365</v>
      </c>
      <c r="C240" s="14" t="s">
        <v>370</v>
      </c>
      <c r="D240" s="1" t="s">
        <v>385</v>
      </c>
      <c r="E240" s="43" t="s">
        <v>329</v>
      </c>
      <c r="F240" s="14"/>
      <c r="G240" s="65">
        <f>G241+G245</f>
        <v>99472.528</v>
      </c>
    </row>
    <row r="241" spans="1:7" s="11" customFormat="1" ht="15.75">
      <c r="A241" s="70" t="s">
        <v>327</v>
      </c>
      <c r="B241" s="14"/>
      <c r="C241" s="14"/>
      <c r="D241" s="1"/>
      <c r="E241" s="43"/>
      <c r="F241" s="14"/>
      <c r="G241" s="65">
        <f>G242</f>
        <v>16845.737999999998</v>
      </c>
    </row>
    <row r="242" spans="1:7" s="11" customFormat="1" ht="31.5">
      <c r="A242" s="50" t="s">
        <v>330</v>
      </c>
      <c r="B242" s="14" t="s">
        <v>365</v>
      </c>
      <c r="C242" s="14" t="s">
        <v>370</v>
      </c>
      <c r="D242" s="1" t="s">
        <v>366</v>
      </c>
      <c r="E242" s="43" t="s">
        <v>332</v>
      </c>
      <c r="F242" s="14"/>
      <c r="G242" s="49">
        <f>G243</f>
        <v>16845.737999999998</v>
      </c>
    </row>
    <row r="243" spans="1:14" ht="31.5">
      <c r="A243" s="50" t="s">
        <v>333</v>
      </c>
      <c r="B243" s="14" t="s">
        <v>365</v>
      </c>
      <c r="C243" s="14" t="s">
        <v>370</v>
      </c>
      <c r="D243" s="1" t="s">
        <v>366</v>
      </c>
      <c r="E243" s="43" t="s">
        <v>332</v>
      </c>
      <c r="F243" s="14" t="s">
        <v>261</v>
      </c>
      <c r="G243" s="49">
        <f>G244</f>
        <v>16845.737999999998</v>
      </c>
      <c r="N243" s="22"/>
    </row>
    <row r="244" spans="1:14" ht="31.5">
      <c r="A244" s="50" t="s">
        <v>260</v>
      </c>
      <c r="B244" s="14" t="s">
        <v>365</v>
      </c>
      <c r="C244" s="14" t="s">
        <v>370</v>
      </c>
      <c r="D244" s="1" t="s">
        <v>366</v>
      </c>
      <c r="E244" s="43" t="s">
        <v>332</v>
      </c>
      <c r="F244" s="1" t="s">
        <v>263</v>
      </c>
      <c r="G244" s="49">
        <f>15035.6+1037.3+172.838+300+300</f>
        <v>16845.737999999998</v>
      </c>
      <c r="N244" s="22"/>
    </row>
    <row r="245" spans="1:14" ht="15.75">
      <c r="A245" s="89" t="s">
        <v>334</v>
      </c>
      <c r="B245" s="14" t="s">
        <v>365</v>
      </c>
      <c r="C245" s="14" t="s">
        <v>370</v>
      </c>
      <c r="D245" s="1" t="s">
        <v>367</v>
      </c>
      <c r="E245" s="43"/>
      <c r="F245" s="1"/>
      <c r="G245" s="49">
        <f>G246+G251</f>
        <v>82626.79000000001</v>
      </c>
      <c r="N245" s="22"/>
    </row>
    <row r="246" spans="1:14" ht="31.5">
      <c r="A246" s="50" t="s">
        <v>336</v>
      </c>
      <c r="B246" s="14" t="s">
        <v>365</v>
      </c>
      <c r="C246" s="14" t="s">
        <v>370</v>
      </c>
      <c r="D246" s="1" t="s">
        <v>367</v>
      </c>
      <c r="E246" s="43" t="s">
        <v>329</v>
      </c>
      <c r="F246" s="1"/>
      <c r="G246" s="49">
        <f>G248</f>
        <v>66330.1</v>
      </c>
      <c r="N246" s="22"/>
    </row>
    <row r="247" spans="1:14" ht="31.5">
      <c r="A247" s="50" t="s">
        <v>337</v>
      </c>
      <c r="B247" s="14" t="s">
        <v>365</v>
      </c>
      <c r="C247" s="14" t="s">
        <v>370</v>
      </c>
      <c r="D247" s="1" t="s">
        <v>367</v>
      </c>
      <c r="E247" s="43" t="s">
        <v>338</v>
      </c>
      <c r="F247" s="40"/>
      <c r="G247" s="49">
        <f>G248</f>
        <v>66330.1</v>
      </c>
      <c r="N247" s="22"/>
    </row>
    <row r="248" spans="1:14" ht="31.5">
      <c r="A248" s="50" t="s">
        <v>339</v>
      </c>
      <c r="B248" s="14" t="s">
        <v>365</v>
      </c>
      <c r="C248" s="14" t="s">
        <v>370</v>
      </c>
      <c r="D248" s="1" t="s">
        <v>367</v>
      </c>
      <c r="E248" s="43" t="s">
        <v>340</v>
      </c>
      <c r="F248" s="40"/>
      <c r="G248" s="49">
        <f>G249</f>
        <v>66330.1</v>
      </c>
      <c r="N248" s="22"/>
    </row>
    <row r="249" spans="1:14" ht="31.5">
      <c r="A249" s="15" t="s">
        <v>106</v>
      </c>
      <c r="B249" s="14" t="s">
        <v>365</v>
      </c>
      <c r="C249" s="14" t="s">
        <v>370</v>
      </c>
      <c r="D249" s="1" t="s">
        <v>367</v>
      </c>
      <c r="E249" s="43" t="s">
        <v>340</v>
      </c>
      <c r="F249" s="40" t="s">
        <v>107</v>
      </c>
      <c r="G249" s="49">
        <f>G250</f>
        <v>66330.1</v>
      </c>
      <c r="N249" s="22"/>
    </row>
    <row r="250" spans="1:14" ht="31.5">
      <c r="A250" s="15" t="s">
        <v>108</v>
      </c>
      <c r="B250" s="14" t="s">
        <v>365</v>
      </c>
      <c r="C250" s="14" t="s">
        <v>370</v>
      </c>
      <c r="D250" s="1" t="s">
        <v>367</v>
      </c>
      <c r="E250" s="43" t="s">
        <v>340</v>
      </c>
      <c r="F250" s="40" t="s">
        <v>109</v>
      </c>
      <c r="G250" s="49">
        <f>53333.3+0.1+12996.7</f>
        <v>66330.1</v>
      </c>
      <c r="N250" s="22"/>
    </row>
    <row r="251" spans="1:14" ht="31.5">
      <c r="A251" s="15" t="s">
        <v>341</v>
      </c>
      <c r="B251" s="14" t="s">
        <v>365</v>
      </c>
      <c r="C251" s="14" t="s">
        <v>370</v>
      </c>
      <c r="D251" s="1" t="s">
        <v>367</v>
      </c>
      <c r="E251" s="43" t="s">
        <v>342</v>
      </c>
      <c r="F251" s="40"/>
      <c r="G251" s="49">
        <f>G252</f>
        <v>16296.69</v>
      </c>
      <c r="N251" s="22"/>
    </row>
    <row r="252" spans="1:14" ht="31.5">
      <c r="A252" s="15" t="s">
        <v>106</v>
      </c>
      <c r="B252" s="14" t="s">
        <v>365</v>
      </c>
      <c r="C252" s="14" t="s">
        <v>370</v>
      </c>
      <c r="D252" s="1" t="s">
        <v>367</v>
      </c>
      <c r="E252" s="43" t="s">
        <v>342</v>
      </c>
      <c r="F252" s="40" t="s">
        <v>107</v>
      </c>
      <c r="G252" s="49">
        <f>G253</f>
        <v>16296.69</v>
      </c>
      <c r="N252" s="22"/>
    </row>
    <row r="253" spans="1:14" ht="31.5">
      <c r="A253" s="15" t="s">
        <v>108</v>
      </c>
      <c r="B253" s="14" t="s">
        <v>365</v>
      </c>
      <c r="C253" s="14" t="s">
        <v>370</v>
      </c>
      <c r="D253" s="1" t="s">
        <v>367</v>
      </c>
      <c r="E253" s="43" t="s">
        <v>342</v>
      </c>
      <c r="F253" s="40" t="s">
        <v>109</v>
      </c>
      <c r="G253" s="49">
        <f>14964.69+1332</f>
        <v>16296.69</v>
      </c>
      <c r="N253" s="22"/>
    </row>
    <row r="254" spans="1:7" ht="15.75">
      <c r="A254" s="44" t="s">
        <v>343</v>
      </c>
      <c r="B254" s="14" t="s">
        <v>365</v>
      </c>
      <c r="C254" s="14" t="s">
        <v>378</v>
      </c>
      <c r="D254" s="1"/>
      <c r="E254" s="82"/>
      <c r="F254" s="82"/>
      <c r="G254" s="61">
        <f aca="true" t="shared" si="1" ref="G254:G259">G255</f>
        <v>1478</v>
      </c>
    </row>
    <row r="255" spans="1:7" ht="31.5">
      <c r="A255" s="68" t="s">
        <v>149</v>
      </c>
      <c r="B255" s="14" t="s">
        <v>365</v>
      </c>
      <c r="C255" s="14" t="s">
        <v>378</v>
      </c>
      <c r="D255" s="1" t="s">
        <v>367</v>
      </c>
      <c r="E255" s="43" t="s">
        <v>317</v>
      </c>
      <c r="F255" s="82"/>
      <c r="G255" s="65">
        <f t="shared" si="1"/>
        <v>1478</v>
      </c>
    </row>
    <row r="256" spans="1:7" ht="20.25" customHeight="1">
      <c r="A256" s="46" t="s">
        <v>346</v>
      </c>
      <c r="B256" s="14" t="s">
        <v>365</v>
      </c>
      <c r="C256" s="14" t="s">
        <v>378</v>
      </c>
      <c r="D256" s="1" t="s">
        <v>367</v>
      </c>
      <c r="E256" s="43" t="s">
        <v>317</v>
      </c>
      <c r="F256" s="1"/>
      <c r="G256" s="49">
        <f t="shared" si="1"/>
        <v>1478</v>
      </c>
    </row>
    <row r="257" spans="1:7" ht="31.5">
      <c r="A257" s="18" t="s">
        <v>347</v>
      </c>
      <c r="B257" s="14" t="s">
        <v>365</v>
      </c>
      <c r="C257" s="14" t="s">
        <v>378</v>
      </c>
      <c r="D257" s="1" t="s">
        <v>367</v>
      </c>
      <c r="E257" s="43" t="s">
        <v>348</v>
      </c>
      <c r="F257" s="1"/>
      <c r="G257" s="49">
        <f t="shared" si="1"/>
        <v>1478</v>
      </c>
    </row>
    <row r="258" spans="1:7" ht="31.5">
      <c r="A258" s="18" t="s">
        <v>349</v>
      </c>
      <c r="B258" s="14" t="s">
        <v>365</v>
      </c>
      <c r="C258" s="14" t="s">
        <v>378</v>
      </c>
      <c r="D258" s="1" t="s">
        <v>367</v>
      </c>
      <c r="E258" s="43" t="s">
        <v>348</v>
      </c>
      <c r="F258" s="1"/>
      <c r="G258" s="49">
        <f t="shared" si="1"/>
        <v>1478</v>
      </c>
    </row>
    <row r="259" spans="1:7" ht="31.5">
      <c r="A259" s="15" t="s">
        <v>106</v>
      </c>
      <c r="B259" s="14" t="s">
        <v>365</v>
      </c>
      <c r="C259" s="14" t="s">
        <v>378</v>
      </c>
      <c r="D259" s="1" t="s">
        <v>367</v>
      </c>
      <c r="E259" s="43" t="s">
        <v>348</v>
      </c>
      <c r="F259" s="1" t="s">
        <v>107</v>
      </c>
      <c r="G259" s="49">
        <f t="shared" si="1"/>
        <v>1478</v>
      </c>
    </row>
    <row r="260" spans="1:7" ht="31.5">
      <c r="A260" s="15" t="s">
        <v>108</v>
      </c>
      <c r="B260" s="14" t="s">
        <v>365</v>
      </c>
      <c r="C260" s="14" t="s">
        <v>378</v>
      </c>
      <c r="D260" s="1" t="s">
        <v>367</v>
      </c>
      <c r="E260" s="43" t="s">
        <v>348</v>
      </c>
      <c r="F260" s="1" t="s">
        <v>109</v>
      </c>
      <c r="G260" s="49">
        <f>1000+380+98</f>
        <v>1478</v>
      </c>
    </row>
    <row r="261" spans="1:7" ht="15.75">
      <c r="A261" s="30" t="s">
        <v>350</v>
      </c>
      <c r="B261" s="14" t="s">
        <v>365</v>
      </c>
      <c r="C261" s="14" t="s">
        <v>371</v>
      </c>
      <c r="D261" s="14" t="s">
        <v>366</v>
      </c>
      <c r="E261" s="40" t="s">
        <v>352</v>
      </c>
      <c r="F261" s="14"/>
      <c r="G261" s="49">
        <f>G262</f>
        <v>2240</v>
      </c>
    </row>
    <row r="262" spans="1:7" ht="15.75">
      <c r="A262" s="76" t="s">
        <v>353</v>
      </c>
      <c r="B262" s="14" t="s">
        <v>365</v>
      </c>
      <c r="C262" s="14" t="s">
        <v>371</v>
      </c>
      <c r="D262" s="14" t="s">
        <v>366</v>
      </c>
      <c r="E262" s="40" t="s">
        <v>352</v>
      </c>
      <c r="F262" s="14"/>
      <c r="G262" s="49">
        <f>G263</f>
        <v>2240</v>
      </c>
    </row>
    <row r="263" spans="1:7" ht="15.75">
      <c r="A263" s="76" t="s">
        <v>354</v>
      </c>
      <c r="B263" s="14" t="s">
        <v>365</v>
      </c>
      <c r="C263" s="14" t="s">
        <v>371</v>
      </c>
      <c r="D263" s="14" t="s">
        <v>366</v>
      </c>
      <c r="E263" s="40" t="s">
        <v>352</v>
      </c>
      <c r="F263" s="14" t="s">
        <v>355</v>
      </c>
      <c r="G263" s="49">
        <f>G264</f>
        <v>2240</v>
      </c>
    </row>
    <row r="264" spans="1:7" ht="15.75">
      <c r="A264" s="79" t="s">
        <v>356</v>
      </c>
      <c r="B264" s="14" t="s">
        <v>365</v>
      </c>
      <c r="C264" s="14" t="s">
        <v>371</v>
      </c>
      <c r="D264" s="14" t="s">
        <v>366</v>
      </c>
      <c r="E264" s="40" t="s">
        <v>352</v>
      </c>
      <c r="F264" s="14" t="s">
        <v>357</v>
      </c>
      <c r="G264" s="49">
        <f>990+800+450</f>
        <v>2240</v>
      </c>
    </row>
    <row r="265" spans="1:7" ht="31.5">
      <c r="A265" s="30" t="s">
        <v>386</v>
      </c>
      <c r="B265" s="16" t="s">
        <v>387</v>
      </c>
      <c r="C265" s="14" t="s">
        <v>366</v>
      </c>
      <c r="D265" s="14" t="s">
        <v>372</v>
      </c>
      <c r="E265" s="21"/>
      <c r="F265" s="21"/>
      <c r="G265" s="71">
        <f>G266</f>
        <v>5132</v>
      </c>
    </row>
    <row r="266" spans="1:7" ht="47.25">
      <c r="A266" s="30" t="s">
        <v>96</v>
      </c>
      <c r="B266" s="16" t="s">
        <v>387</v>
      </c>
      <c r="C266" s="14" t="s">
        <v>366</v>
      </c>
      <c r="D266" s="14" t="s">
        <v>372</v>
      </c>
      <c r="E266" s="31"/>
      <c r="F266" s="16"/>
      <c r="G266" s="49">
        <f>G267</f>
        <v>5132</v>
      </c>
    </row>
    <row r="267" spans="1:7" ht="52.5" customHeight="1">
      <c r="A267" s="39" t="s">
        <v>88</v>
      </c>
      <c r="B267" s="14" t="s">
        <v>387</v>
      </c>
      <c r="C267" s="14" t="s">
        <v>366</v>
      </c>
      <c r="D267" s="14" t="s">
        <v>372</v>
      </c>
      <c r="E267" s="40" t="s">
        <v>89</v>
      </c>
      <c r="F267" s="1"/>
      <c r="G267" s="88">
        <f>G271+G268</f>
        <v>5132</v>
      </c>
    </row>
    <row r="268" spans="1:7" ht="31.5">
      <c r="A268" s="42" t="s">
        <v>98</v>
      </c>
      <c r="B268" s="14" t="s">
        <v>387</v>
      </c>
      <c r="C268" s="14" t="s">
        <v>366</v>
      </c>
      <c r="D268" s="14" t="s">
        <v>372</v>
      </c>
      <c r="E268" s="40" t="s">
        <v>99</v>
      </c>
      <c r="F268" s="1"/>
      <c r="G268" s="88">
        <f>G270</f>
        <v>1871</v>
      </c>
    </row>
    <row r="269" spans="1:7" ht="63">
      <c r="A269" s="39" t="s">
        <v>92</v>
      </c>
      <c r="B269" s="14" t="s">
        <v>387</v>
      </c>
      <c r="C269" s="14" t="s">
        <v>366</v>
      </c>
      <c r="D269" s="14" t="s">
        <v>372</v>
      </c>
      <c r="E269" s="40" t="s">
        <v>99</v>
      </c>
      <c r="F269" s="1" t="s">
        <v>93</v>
      </c>
      <c r="G269" s="88">
        <f>G270</f>
        <v>1871</v>
      </c>
    </row>
    <row r="270" spans="1:7" ht="15.75">
      <c r="A270" s="39" t="s">
        <v>94</v>
      </c>
      <c r="B270" s="14" t="s">
        <v>387</v>
      </c>
      <c r="C270" s="14" t="s">
        <v>366</v>
      </c>
      <c r="D270" s="14" t="s">
        <v>372</v>
      </c>
      <c r="E270" s="40" t="s">
        <v>99</v>
      </c>
      <c r="F270" s="1" t="s">
        <v>95</v>
      </c>
      <c r="G270" s="88">
        <f>1340+761-230</f>
        <v>1871</v>
      </c>
    </row>
    <row r="271" spans="1:7" ht="31.5">
      <c r="A271" s="39" t="s">
        <v>100</v>
      </c>
      <c r="B271" s="14" t="s">
        <v>387</v>
      </c>
      <c r="C271" s="14" t="s">
        <v>366</v>
      </c>
      <c r="D271" s="14" t="s">
        <v>372</v>
      </c>
      <c r="E271" s="43" t="s">
        <v>101</v>
      </c>
      <c r="F271" s="14"/>
      <c r="G271" s="49">
        <f>G275+G272</f>
        <v>3261</v>
      </c>
    </row>
    <row r="272" spans="1:7" ht="31.5">
      <c r="A272" s="39" t="s">
        <v>102</v>
      </c>
      <c r="B272" s="14" t="s">
        <v>387</v>
      </c>
      <c r="C272" s="14" t="s">
        <v>366</v>
      </c>
      <c r="D272" s="14" t="s">
        <v>372</v>
      </c>
      <c r="E272" s="43" t="s">
        <v>103</v>
      </c>
      <c r="F272" s="14"/>
      <c r="G272" s="49">
        <f>G273</f>
        <v>1251</v>
      </c>
    </row>
    <row r="273" spans="1:7" ht="63">
      <c r="A273" s="39" t="s">
        <v>92</v>
      </c>
      <c r="B273" s="14" t="s">
        <v>387</v>
      </c>
      <c r="C273" s="14" t="s">
        <v>366</v>
      </c>
      <c r="D273" s="14" t="s">
        <v>372</v>
      </c>
      <c r="E273" s="43" t="s">
        <v>103</v>
      </c>
      <c r="F273" s="14" t="s">
        <v>93</v>
      </c>
      <c r="G273" s="49">
        <f>G274</f>
        <v>1251</v>
      </c>
    </row>
    <row r="274" spans="1:7" ht="31.5">
      <c r="A274" s="39" t="s">
        <v>94</v>
      </c>
      <c r="B274" s="14" t="s">
        <v>387</v>
      </c>
      <c r="C274" s="14" t="s">
        <v>366</v>
      </c>
      <c r="D274" s="14" t="s">
        <v>372</v>
      </c>
      <c r="E274" s="43" t="s">
        <v>103</v>
      </c>
      <c r="F274" s="14" t="s">
        <v>95</v>
      </c>
      <c r="G274" s="49">
        <f>750+271+230</f>
        <v>1251</v>
      </c>
    </row>
    <row r="275" spans="1:7" ht="31.5">
      <c r="A275" s="39" t="s">
        <v>104</v>
      </c>
      <c r="B275" s="14" t="s">
        <v>387</v>
      </c>
      <c r="C275" s="14" t="s">
        <v>366</v>
      </c>
      <c r="D275" s="14" t="s">
        <v>372</v>
      </c>
      <c r="E275" s="43" t="s">
        <v>105</v>
      </c>
      <c r="F275" s="14"/>
      <c r="G275" s="49">
        <f>G278+G276</f>
        <v>2010</v>
      </c>
    </row>
    <row r="276" spans="1:7" ht="22.5" customHeight="1">
      <c r="A276" s="39" t="s">
        <v>106</v>
      </c>
      <c r="B276" s="14" t="s">
        <v>387</v>
      </c>
      <c r="C276" s="14" t="s">
        <v>366</v>
      </c>
      <c r="D276" s="14" t="s">
        <v>372</v>
      </c>
      <c r="E276" s="43" t="s">
        <v>105</v>
      </c>
      <c r="F276" s="14" t="s">
        <v>107</v>
      </c>
      <c r="G276" s="49">
        <f>G277</f>
        <v>1995</v>
      </c>
    </row>
    <row r="277" spans="1:7" ht="31.5">
      <c r="A277" s="39" t="s">
        <v>108</v>
      </c>
      <c r="B277" s="14" t="s">
        <v>387</v>
      </c>
      <c r="C277" s="14" t="s">
        <v>366</v>
      </c>
      <c r="D277" s="14" t="s">
        <v>372</v>
      </c>
      <c r="E277" s="43" t="s">
        <v>105</v>
      </c>
      <c r="F277" s="14" t="s">
        <v>109</v>
      </c>
      <c r="G277" s="49">
        <v>1995</v>
      </c>
    </row>
    <row r="278" spans="1:7" ht="31.5">
      <c r="A278" s="39" t="s">
        <v>110</v>
      </c>
      <c r="B278" s="14" t="s">
        <v>387</v>
      </c>
      <c r="C278" s="14" t="s">
        <v>366</v>
      </c>
      <c r="D278" s="14" t="s">
        <v>372</v>
      </c>
      <c r="E278" s="43" t="s">
        <v>105</v>
      </c>
      <c r="F278" s="14" t="s">
        <v>111</v>
      </c>
      <c r="G278" s="49">
        <f>G279</f>
        <v>15</v>
      </c>
    </row>
    <row r="279" spans="1:7" ht="18" customHeight="1">
      <c r="A279" s="39" t="s">
        <v>112</v>
      </c>
      <c r="B279" s="14" t="s">
        <v>387</v>
      </c>
      <c r="C279" s="14" t="s">
        <v>366</v>
      </c>
      <c r="D279" s="14" t="s">
        <v>372</v>
      </c>
      <c r="E279" s="43" t="s">
        <v>105</v>
      </c>
      <c r="F279" s="14" t="s">
        <v>113</v>
      </c>
      <c r="G279" s="49">
        <f>4+11</f>
        <v>15</v>
      </c>
    </row>
    <row r="280" spans="1:7" ht="34.5" customHeight="1">
      <c r="A280" s="30" t="s">
        <v>388</v>
      </c>
      <c r="B280" s="16" t="s">
        <v>389</v>
      </c>
      <c r="C280" s="14" t="s">
        <v>366</v>
      </c>
      <c r="D280" s="14" t="s">
        <v>390</v>
      </c>
      <c r="E280" s="21"/>
      <c r="F280" s="21"/>
      <c r="G280" s="83">
        <f>G281</f>
        <v>1782</v>
      </c>
    </row>
    <row r="281" spans="1:7" ht="30" customHeight="1">
      <c r="A281" s="91" t="s">
        <v>118</v>
      </c>
      <c r="B281" s="16" t="s">
        <v>389</v>
      </c>
      <c r="C281" s="14" t="s">
        <v>366</v>
      </c>
      <c r="D281" s="14" t="s">
        <v>390</v>
      </c>
      <c r="E281" s="31"/>
      <c r="F281" s="16"/>
      <c r="G281" s="49">
        <f>G282</f>
        <v>1782</v>
      </c>
    </row>
    <row r="282" spans="1:7" ht="39" customHeight="1">
      <c r="A282" s="39" t="s">
        <v>88</v>
      </c>
      <c r="B282" s="14" t="s">
        <v>389</v>
      </c>
      <c r="C282" s="14" t="s">
        <v>366</v>
      </c>
      <c r="D282" s="14" t="s">
        <v>390</v>
      </c>
      <c r="E282" s="40" t="s">
        <v>89</v>
      </c>
      <c r="F282" s="14"/>
      <c r="G282" s="49">
        <f>G283+G289</f>
        <v>1782</v>
      </c>
    </row>
    <row r="283" spans="1:7" ht="15.75">
      <c r="A283" s="42" t="s">
        <v>100</v>
      </c>
      <c r="B283" s="14" t="s">
        <v>389</v>
      </c>
      <c r="C283" s="14" t="s">
        <v>366</v>
      </c>
      <c r="D283" s="14" t="s">
        <v>390</v>
      </c>
      <c r="E283" s="40" t="s">
        <v>101</v>
      </c>
      <c r="F283" s="14"/>
      <c r="G283" s="49">
        <f>G284</f>
        <v>276</v>
      </c>
    </row>
    <row r="284" spans="1:7" ht="18" customHeight="1">
      <c r="A284" s="39" t="s">
        <v>104</v>
      </c>
      <c r="B284" s="14" t="s">
        <v>389</v>
      </c>
      <c r="C284" s="14" t="s">
        <v>366</v>
      </c>
      <c r="D284" s="14" t="s">
        <v>390</v>
      </c>
      <c r="E284" s="43" t="s">
        <v>105</v>
      </c>
      <c r="F284" s="14"/>
      <c r="G284" s="49">
        <f>G285+G287</f>
        <v>276</v>
      </c>
    </row>
    <row r="285" spans="1:7" ht="31.5">
      <c r="A285" s="15" t="s">
        <v>106</v>
      </c>
      <c r="B285" s="14" t="s">
        <v>389</v>
      </c>
      <c r="C285" s="14" t="s">
        <v>366</v>
      </c>
      <c r="D285" s="14" t="s">
        <v>390</v>
      </c>
      <c r="E285" s="43" t="s">
        <v>105</v>
      </c>
      <c r="F285" s="14" t="s">
        <v>107</v>
      </c>
      <c r="G285" s="49">
        <f>G286</f>
        <v>275</v>
      </c>
    </row>
    <row r="286" spans="1:7" ht="18" customHeight="1">
      <c r="A286" s="15" t="s">
        <v>108</v>
      </c>
      <c r="B286" s="14" t="s">
        <v>389</v>
      </c>
      <c r="C286" s="14" t="s">
        <v>366</v>
      </c>
      <c r="D286" s="14" t="s">
        <v>390</v>
      </c>
      <c r="E286" s="43" t="s">
        <v>105</v>
      </c>
      <c r="F286" s="14" t="s">
        <v>109</v>
      </c>
      <c r="G286" s="49">
        <v>275</v>
      </c>
    </row>
    <row r="287" spans="1:7" ht="31.5">
      <c r="A287" s="39" t="s">
        <v>110</v>
      </c>
      <c r="B287" s="14" t="s">
        <v>389</v>
      </c>
      <c r="C287" s="14" t="s">
        <v>366</v>
      </c>
      <c r="D287" s="14" t="s">
        <v>390</v>
      </c>
      <c r="E287" s="43" t="s">
        <v>105</v>
      </c>
      <c r="F287" s="14" t="s">
        <v>111</v>
      </c>
      <c r="G287" s="49">
        <f>G288</f>
        <v>1</v>
      </c>
    </row>
    <row r="288" spans="1:7" ht="31.5">
      <c r="A288" s="39" t="s">
        <v>112</v>
      </c>
      <c r="B288" s="14" t="s">
        <v>389</v>
      </c>
      <c r="C288" s="14" t="s">
        <v>366</v>
      </c>
      <c r="D288" s="14" t="s">
        <v>390</v>
      </c>
      <c r="E288" s="43" t="s">
        <v>105</v>
      </c>
      <c r="F288" s="14" t="s">
        <v>113</v>
      </c>
      <c r="G288" s="49">
        <v>1</v>
      </c>
    </row>
    <row r="289" spans="1:7" ht="31.5">
      <c r="A289" s="46" t="s">
        <v>120</v>
      </c>
      <c r="B289" s="14" t="s">
        <v>389</v>
      </c>
      <c r="C289" s="14" t="s">
        <v>366</v>
      </c>
      <c r="D289" s="14" t="s">
        <v>390</v>
      </c>
      <c r="E289" s="43" t="s">
        <v>101</v>
      </c>
      <c r="F289" s="14"/>
      <c r="G289" s="49">
        <f>G290</f>
        <v>1506</v>
      </c>
    </row>
    <row r="290" spans="1:7" ht="63">
      <c r="A290" s="39" t="s">
        <v>92</v>
      </c>
      <c r="B290" s="14" t="s">
        <v>389</v>
      </c>
      <c r="C290" s="14" t="s">
        <v>366</v>
      </c>
      <c r="D290" s="14" t="s">
        <v>390</v>
      </c>
      <c r="E290" s="40" t="s">
        <v>121</v>
      </c>
      <c r="F290" s="14" t="s">
        <v>93</v>
      </c>
      <c r="G290" s="49">
        <f>G291</f>
        <v>1506</v>
      </c>
    </row>
    <row r="291" spans="1:7" ht="15.75">
      <c r="A291" s="39" t="s">
        <v>94</v>
      </c>
      <c r="B291" s="14" t="s">
        <v>389</v>
      </c>
      <c r="C291" s="14" t="s">
        <v>366</v>
      </c>
      <c r="D291" s="14" t="s">
        <v>390</v>
      </c>
      <c r="E291" s="40" t="s">
        <v>121</v>
      </c>
      <c r="F291" s="14" t="s">
        <v>95</v>
      </c>
      <c r="G291" s="49">
        <f>1264+242</f>
        <v>1506</v>
      </c>
    </row>
    <row r="292" spans="1:7" ht="47.25">
      <c r="A292" s="50" t="s">
        <v>187</v>
      </c>
      <c r="B292" s="14" t="s">
        <v>391</v>
      </c>
      <c r="C292" s="14" t="s">
        <v>379</v>
      </c>
      <c r="D292" s="14" t="s">
        <v>372</v>
      </c>
      <c r="E292" s="43" t="s">
        <v>188</v>
      </c>
      <c r="F292" s="43"/>
      <c r="G292" s="61">
        <f>G293</f>
        <v>8265.2</v>
      </c>
    </row>
    <row r="293" spans="1:7" ht="31.5">
      <c r="A293" s="50" t="s">
        <v>254</v>
      </c>
      <c r="B293" s="14" t="s">
        <v>391</v>
      </c>
      <c r="C293" s="14" t="s">
        <v>379</v>
      </c>
      <c r="D293" s="14" t="s">
        <v>372</v>
      </c>
      <c r="E293" s="43" t="s">
        <v>255</v>
      </c>
      <c r="F293" s="43"/>
      <c r="G293" s="65">
        <f>G294</f>
        <v>8265.2</v>
      </c>
    </row>
    <row r="294" spans="1:7" ht="31.5">
      <c r="A294" s="55" t="s">
        <v>281</v>
      </c>
      <c r="B294" s="14" t="s">
        <v>391</v>
      </c>
      <c r="C294" s="14" t="s">
        <v>379</v>
      </c>
      <c r="D294" s="14" t="s">
        <v>372</v>
      </c>
      <c r="E294" s="43" t="s">
        <v>282</v>
      </c>
      <c r="F294" s="43"/>
      <c r="G294" s="49">
        <f>G295</f>
        <v>8265.2</v>
      </c>
    </row>
    <row r="295" spans="1:7" ht="31.5">
      <c r="A295" s="15" t="s">
        <v>283</v>
      </c>
      <c r="B295" s="14" t="s">
        <v>391</v>
      </c>
      <c r="C295" s="14" t="s">
        <v>379</v>
      </c>
      <c r="D295" s="14" t="s">
        <v>372</v>
      </c>
      <c r="E295" s="43" t="s">
        <v>284</v>
      </c>
      <c r="F295" s="43"/>
      <c r="G295" s="49">
        <f>G296</f>
        <v>8265.2</v>
      </c>
    </row>
    <row r="296" spans="1:7" ht="47.25">
      <c r="A296" s="39" t="s">
        <v>285</v>
      </c>
      <c r="B296" s="14" t="s">
        <v>391</v>
      </c>
      <c r="C296" s="14" t="s">
        <v>379</v>
      </c>
      <c r="D296" s="14" t="s">
        <v>372</v>
      </c>
      <c r="E296" s="43" t="s">
        <v>284</v>
      </c>
      <c r="F296" s="43"/>
      <c r="G296" s="49">
        <f>G297+G300+G302</f>
        <v>8265.2</v>
      </c>
    </row>
    <row r="297" spans="1:7" ht="63">
      <c r="A297" s="39" t="s">
        <v>92</v>
      </c>
      <c r="B297" s="14" t="s">
        <v>391</v>
      </c>
      <c r="C297" s="14" t="s">
        <v>379</v>
      </c>
      <c r="D297" s="14" t="s">
        <v>372</v>
      </c>
      <c r="E297" s="43" t="s">
        <v>284</v>
      </c>
      <c r="F297" s="43"/>
      <c r="G297" s="49">
        <f>G298</f>
        <v>6245.42</v>
      </c>
    </row>
    <row r="298" spans="1:7" ht="31.5">
      <c r="A298" s="39" t="s">
        <v>153</v>
      </c>
      <c r="B298" s="14" t="s">
        <v>391</v>
      </c>
      <c r="C298" s="14" t="s">
        <v>379</v>
      </c>
      <c r="D298" s="14" t="s">
        <v>372</v>
      </c>
      <c r="E298" s="43" t="s">
        <v>284</v>
      </c>
      <c r="F298" s="43" t="s">
        <v>93</v>
      </c>
      <c r="G298" s="49">
        <f>G299</f>
        <v>6245.42</v>
      </c>
    </row>
    <row r="299" spans="1:7" ht="31.5">
      <c r="A299" s="50" t="s">
        <v>106</v>
      </c>
      <c r="B299" s="14" t="s">
        <v>391</v>
      </c>
      <c r="C299" s="14" t="s">
        <v>379</v>
      </c>
      <c r="D299" s="14" t="s">
        <v>372</v>
      </c>
      <c r="E299" s="43" t="s">
        <v>284</v>
      </c>
      <c r="F299" s="43" t="s">
        <v>154</v>
      </c>
      <c r="G299" s="49">
        <f>5845.42+400</f>
        <v>6245.42</v>
      </c>
    </row>
    <row r="300" spans="1:7" ht="31.5">
      <c r="A300" s="50" t="s">
        <v>108</v>
      </c>
      <c r="B300" s="14" t="s">
        <v>391</v>
      </c>
      <c r="C300" s="14" t="s">
        <v>379</v>
      </c>
      <c r="D300" s="14" t="s">
        <v>372</v>
      </c>
      <c r="E300" s="43" t="s">
        <v>284</v>
      </c>
      <c r="F300" s="43" t="s">
        <v>107</v>
      </c>
      <c r="G300" s="49">
        <f>G301</f>
        <v>2009.7799999999997</v>
      </c>
    </row>
    <row r="301" spans="1:7" ht="31.5">
      <c r="A301" s="39" t="s">
        <v>110</v>
      </c>
      <c r="B301" s="14" t="s">
        <v>391</v>
      </c>
      <c r="C301" s="14" t="s">
        <v>379</v>
      </c>
      <c r="D301" s="14" t="s">
        <v>372</v>
      </c>
      <c r="E301" s="43" t="s">
        <v>284</v>
      </c>
      <c r="F301" s="43" t="s">
        <v>109</v>
      </c>
      <c r="G301" s="49">
        <f>2590-10+700+1000-1000-400+1836.78-2907+200</f>
        <v>2009.7799999999997</v>
      </c>
    </row>
    <row r="302" spans="1:7" ht="31.5">
      <c r="A302" s="39" t="s">
        <v>112</v>
      </c>
      <c r="B302" s="14" t="s">
        <v>391</v>
      </c>
      <c r="C302" s="14" t="s">
        <v>379</v>
      </c>
      <c r="D302" s="14" t="s">
        <v>372</v>
      </c>
      <c r="E302" s="43" t="s">
        <v>284</v>
      </c>
      <c r="F302" s="43" t="s">
        <v>111</v>
      </c>
      <c r="G302" s="49">
        <f>G303</f>
        <v>10</v>
      </c>
    </row>
    <row r="303" spans="1:7" ht="31.5">
      <c r="A303" s="39" t="s">
        <v>112</v>
      </c>
      <c r="B303" s="14" t="s">
        <v>391</v>
      </c>
      <c r="C303" s="14" t="s">
        <v>379</v>
      </c>
      <c r="D303" s="14" t="s">
        <v>372</v>
      </c>
      <c r="E303" s="43" t="s">
        <v>284</v>
      </c>
      <c r="F303" s="43" t="s">
        <v>113</v>
      </c>
      <c r="G303" s="49">
        <v>10</v>
      </c>
    </row>
    <row r="304" spans="1:7" ht="15.75">
      <c r="A304" s="50" t="s">
        <v>149</v>
      </c>
      <c r="B304" s="14" t="s">
        <v>392</v>
      </c>
      <c r="C304" s="14" t="s">
        <v>366</v>
      </c>
      <c r="D304" s="14" t="s">
        <v>371</v>
      </c>
      <c r="E304" s="40" t="s">
        <v>150</v>
      </c>
      <c r="F304" s="14"/>
      <c r="G304" s="71">
        <f>G305</f>
        <v>12409</v>
      </c>
    </row>
    <row r="305" spans="1:7" ht="47.25">
      <c r="A305" s="39" t="s">
        <v>151</v>
      </c>
      <c r="B305" s="14" t="s">
        <v>392</v>
      </c>
      <c r="C305" s="14" t="s">
        <v>366</v>
      </c>
      <c r="D305" s="14" t="s">
        <v>371</v>
      </c>
      <c r="E305" s="40" t="s">
        <v>152</v>
      </c>
      <c r="F305" s="14"/>
      <c r="G305" s="49">
        <f>G306+G308+G310</f>
        <v>12409</v>
      </c>
    </row>
    <row r="306" spans="1:7" ht="48" customHeight="1">
      <c r="A306" s="39" t="s">
        <v>92</v>
      </c>
      <c r="B306" s="14" t="s">
        <v>392</v>
      </c>
      <c r="C306" s="14" t="s">
        <v>366</v>
      </c>
      <c r="D306" s="14" t="s">
        <v>371</v>
      </c>
      <c r="E306" s="40" t="s">
        <v>152</v>
      </c>
      <c r="F306" s="43" t="s">
        <v>93</v>
      </c>
      <c r="G306" s="49">
        <f>G307</f>
        <v>11293</v>
      </c>
    </row>
    <row r="307" spans="1:7" ht="15.75">
      <c r="A307" s="39" t="s">
        <v>153</v>
      </c>
      <c r="B307" s="14" t="s">
        <v>392</v>
      </c>
      <c r="C307" s="14" t="s">
        <v>366</v>
      </c>
      <c r="D307" s="14" t="s">
        <v>371</v>
      </c>
      <c r="E307" s="40" t="s">
        <v>152</v>
      </c>
      <c r="F307" s="43" t="s">
        <v>154</v>
      </c>
      <c r="G307" s="49">
        <f>9265-5+2033</f>
        <v>11293</v>
      </c>
    </row>
    <row r="308" spans="1:7" ht="15.75">
      <c r="A308" s="50" t="s">
        <v>106</v>
      </c>
      <c r="B308" s="14" t="s">
        <v>392</v>
      </c>
      <c r="C308" s="14" t="s">
        <v>366</v>
      </c>
      <c r="D308" s="14" t="s">
        <v>371</v>
      </c>
      <c r="E308" s="40" t="s">
        <v>152</v>
      </c>
      <c r="F308" s="43" t="s">
        <v>107</v>
      </c>
      <c r="G308" s="49">
        <f>G309</f>
        <v>1113</v>
      </c>
    </row>
    <row r="309" spans="1:7" ht="31.5">
      <c r="A309" s="50" t="s">
        <v>108</v>
      </c>
      <c r="B309" s="14" t="s">
        <v>392</v>
      </c>
      <c r="C309" s="14" t="s">
        <v>366</v>
      </c>
      <c r="D309" s="14" t="s">
        <v>371</v>
      </c>
      <c r="E309" s="40" t="s">
        <v>152</v>
      </c>
      <c r="F309" s="43" t="s">
        <v>109</v>
      </c>
      <c r="G309" s="49">
        <f>435+300+154+65.7+70.3+5-1.5+86-7.5+6</f>
        <v>1113</v>
      </c>
    </row>
    <row r="310" spans="1:7" ht="18" customHeight="1">
      <c r="A310" s="39" t="s">
        <v>110</v>
      </c>
      <c r="B310" s="14" t="s">
        <v>392</v>
      </c>
      <c r="C310" s="14" t="s">
        <v>366</v>
      </c>
      <c r="D310" s="14" t="s">
        <v>371</v>
      </c>
      <c r="E310" s="40" t="s">
        <v>152</v>
      </c>
      <c r="F310" s="43" t="s">
        <v>111</v>
      </c>
      <c r="G310" s="49">
        <f>G311</f>
        <v>3</v>
      </c>
    </row>
    <row r="311" spans="1:7" ht="15.75">
      <c r="A311" s="39" t="s">
        <v>112</v>
      </c>
      <c r="B311" s="14" t="s">
        <v>392</v>
      </c>
      <c r="C311" s="14" t="s">
        <v>366</v>
      </c>
      <c r="D311" s="14" t="s">
        <v>371</v>
      </c>
      <c r="E311" s="40" t="s">
        <v>152</v>
      </c>
      <c r="F311" s="43" t="s">
        <v>113</v>
      </c>
      <c r="G311" s="49">
        <v>3</v>
      </c>
    </row>
    <row r="312" spans="1:7" ht="21.75" customHeight="1">
      <c r="A312" s="92" t="s">
        <v>358</v>
      </c>
      <c r="B312" s="92"/>
      <c r="C312" s="93"/>
      <c r="D312" s="93"/>
      <c r="E312" s="94"/>
      <c r="F312" s="93"/>
      <c r="G312" s="237">
        <f>G304+G292+G280+G265+G16</f>
        <v>513098.15006</v>
      </c>
    </row>
    <row r="314" ht="15.75">
      <c r="E314" s="10"/>
    </row>
    <row r="318" ht="42" customHeight="1"/>
    <row r="324" ht="15.75">
      <c r="L324" s="10"/>
    </row>
    <row r="326" ht="15.75">
      <c r="N326" s="10"/>
    </row>
    <row r="327" ht="15.75">
      <c r="Q327" s="10"/>
    </row>
  </sheetData>
  <sheetProtection selectLockedCells="1" selectUnlockedCells="1"/>
  <autoFilter ref="A15:F278"/>
  <mergeCells count="1">
    <mergeCell ref="A13:G13"/>
  </mergeCells>
  <printOptions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&amp;L197/мз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5" sqref="B5"/>
    </sheetView>
  </sheetViews>
  <sheetFormatPr defaultColWidth="45.875" defaultRowHeight="12.75"/>
  <cols>
    <col min="1" max="1" width="53.75390625" style="9" customWidth="1"/>
    <col min="2" max="2" width="32.875" style="9" customWidth="1"/>
    <col min="3" max="3" width="19.75390625" style="9" customWidth="1"/>
    <col min="4" max="16384" width="45.875" style="9" customWidth="1"/>
  </cols>
  <sheetData>
    <row r="1" spans="2:5" ht="15.75">
      <c r="B1" s="26" t="s">
        <v>691</v>
      </c>
      <c r="C1" s="23"/>
      <c r="D1" s="27"/>
      <c r="E1" s="28"/>
    </row>
    <row r="2" spans="2:5" ht="15.75">
      <c r="B2" s="26" t="s">
        <v>588</v>
      </c>
      <c r="C2" s="23"/>
      <c r="D2" s="27"/>
      <c r="E2" s="28"/>
    </row>
    <row r="3" spans="2:5" ht="15.75">
      <c r="B3" s="26" t="s">
        <v>589</v>
      </c>
      <c r="C3" s="23"/>
      <c r="D3" s="27"/>
      <c r="E3" s="28"/>
    </row>
    <row r="4" spans="2:5" ht="15.75">
      <c r="B4" s="26" t="s">
        <v>590</v>
      </c>
      <c r="C4" s="23"/>
      <c r="D4" s="23"/>
      <c r="E4" s="28"/>
    </row>
    <row r="5" spans="2:5" ht="15.75">
      <c r="B5" s="26" t="s">
        <v>734</v>
      </c>
      <c r="C5" s="23"/>
      <c r="D5" s="27"/>
      <c r="E5" s="28"/>
    </row>
    <row r="6" spans="2:3" ht="15.75">
      <c r="B6" s="26"/>
      <c r="C6" s="23"/>
    </row>
    <row r="7" spans="2:3" ht="15.75">
      <c r="B7" s="227" t="s">
        <v>691</v>
      </c>
      <c r="C7" s="228"/>
    </row>
    <row r="8" spans="2:3" ht="15.75">
      <c r="B8" s="227" t="s">
        <v>70</v>
      </c>
      <c r="C8" s="228"/>
    </row>
    <row r="9" spans="2:3" ht="15.75">
      <c r="B9" s="227" t="s">
        <v>71</v>
      </c>
      <c r="C9" s="228"/>
    </row>
    <row r="10" spans="2:3" ht="15.75">
      <c r="B10" s="227" t="s">
        <v>72</v>
      </c>
      <c r="C10" s="206"/>
    </row>
    <row r="11" spans="2:3" ht="15.75">
      <c r="B11" s="227" t="s">
        <v>73</v>
      </c>
      <c r="C11" s="206"/>
    </row>
    <row r="12" spans="2:3" ht="15.75">
      <c r="B12" s="26" t="s">
        <v>360</v>
      </c>
      <c r="C12" s="23"/>
    </row>
    <row r="14" spans="1:3" ht="15.75">
      <c r="A14" s="246" t="s">
        <v>692</v>
      </c>
      <c r="B14" s="246"/>
      <c r="C14" s="246"/>
    </row>
    <row r="15" ht="15.75">
      <c r="C15" s="9" t="s">
        <v>76</v>
      </c>
    </row>
    <row r="16" spans="1:3" ht="15.75">
      <c r="A16" s="20" t="s">
        <v>77</v>
      </c>
      <c r="B16" s="20" t="s">
        <v>693</v>
      </c>
      <c r="C16" s="20" t="s">
        <v>68</v>
      </c>
    </row>
    <row r="17" spans="1:5" ht="47.25">
      <c r="A17" s="229" t="s">
        <v>694</v>
      </c>
      <c r="B17" s="42"/>
      <c r="C17" s="95">
        <f>C28+C18</f>
        <v>48248.390000000014</v>
      </c>
      <c r="E17" s="10"/>
    </row>
    <row r="18" spans="1:3" ht="31.5">
      <c r="A18" s="229" t="s">
        <v>695</v>
      </c>
      <c r="B18" s="20" t="s">
        <v>696</v>
      </c>
      <c r="C18" s="95">
        <f>C19+C21</f>
        <v>15000</v>
      </c>
    </row>
    <row r="19" spans="1:3" ht="31.5">
      <c r="A19" s="230" t="s">
        <v>697</v>
      </c>
      <c r="B19" s="20" t="s">
        <v>698</v>
      </c>
      <c r="C19" s="95">
        <f>C20</f>
        <v>35000</v>
      </c>
    </row>
    <row r="20" spans="1:3" ht="47.25">
      <c r="A20" s="230" t="s">
        <v>699</v>
      </c>
      <c r="B20" s="20" t="s">
        <v>700</v>
      </c>
      <c r="C20" s="95">
        <f>25000+10000</f>
        <v>35000</v>
      </c>
    </row>
    <row r="21" spans="1:3" ht="31.5">
      <c r="A21" s="230" t="s">
        <v>701</v>
      </c>
      <c r="B21" s="20" t="s">
        <v>702</v>
      </c>
      <c r="C21" s="95">
        <f>C22</f>
        <v>-20000</v>
      </c>
    </row>
    <row r="22" spans="1:3" ht="47.25">
      <c r="A22" s="230" t="s">
        <v>703</v>
      </c>
      <c r="B22" s="20" t="s">
        <v>704</v>
      </c>
      <c r="C22" s="95">
        <v>-20000</v>
      </c>
    </row>
    <row r="23" spans="1:3" ht="31.5">
      <c r="A23" s="229" t="s">
        <v>705</v>
      </c>
      <c r="B23" s="20" t="s">
        <v>706</v>
      </c>
      <c r="C23" s="231">
        <f>C24+C26</f>
        <v>0</v>
      </c>
    </row>
    <row r="24" spans="1:3" ht="47.25">
      <c r="A24" s="230" t="s">
        <v>707</v>
      </c>
      <c r="B24" s="20" t="s">
        <v>708</v>
      </c>
      <c r="C24" s="95">
        <f>C25</f>
        <v>10000</v>
      </c>
    </row>
    <row r="25" spans="1:3" ht="63">
      <c r="A25" s="230" t="s">
        <v>709</v>
      </c>
      <c r="B25" s="20" t="s">
        <v>710</v>
      </c>
      <c r="C25" s="95">
        <v>10000</v>
      </c>
    </row>
    <row r="26" spans="1:3" ht="47.25">
      <c r="A26" s="230" t="s">
        <v>711</v>
      </c>
      <c r="B26" s="20" t="s">
        <v>712</v>
      </c>
      <c r="C26" s="95">
        <f>C27</f>
        <v>-10000</v>
      </c>
    </row>
    <row r="27" spans="1:3" ht="47.25">
      <c r="A27" s="230" t="s">
        <v>713</v>
      </c>
      <c r="B27" s="20" t="s">
        <v>714</v>
      </c>
      <c r="C27" s="95">
        <v>-10000</v>
      </c>
    </row>
    <row r="28" spans="1:4" ht="31.5">
      <c r="A28" s="229" t="s">
        <v>715</v>
      </c>
      <c r="B28" s="20" t="s">
        <v>716</v>
      </c>
      <c r="C28" s="95">
        <f>C32+C29</f>
        <v>33248.390000000014</v>
      </c>
      <c r="D28" s="10"/>
    </row>
    <row r="29" spans="1:3" ht="15.75">
      <c r="A29" s="229" t="s">
        <v>717</v>
      </c>
      <c r="B29" s="20" t="s">
        <v>718</v>
      </c>
      <c r="C29" s="95">
        <f>C30</f>
        <v>-509849.76</v>
      </c>
    </row>
    <row r="30" spans="1:3" ht="31.5">
      <c r="A30" s="230" t="s">
        <v>719</v>
      </c>
      <c r="B30" s="20" t="s">
        <v>720</v>
      </c>
      <c r="C30" s="95">
        <f>C31</f>
        <v>-509849.76</v>
      </c>
    </row>
    <row r="31" spans="1:3" ht="31.5">
      <c r="A31" s="230" t="s">
        <v>721</v>
      </c>
      <c r="B31" s="20" t="s">
        <v>722</v>
      </c>
      <c r="C31" s="95">
        <f>-464849.76-25000-10000-10000</f>
        <v>-509849.76</v>
      </c>
    </row>
    <row r="32" spans="1:3" ht="15.75">
      <c r="A32" s="229" t="s">
        <v>723</v>
      </c>
      <c r="B32" s="20" t="s">
        <v>724</v>
      </c>
      <c r="C32" s="95">
        <f>C33</f>
        <v>543098.15</v>
      </c>
    </row>
    <row r="33" spans="1:3" ht="31.5">
      <c r="A33" s="230" t="s">
        <v>725</v>
      </c>
      <c r="B33" s="20" t="s">
        <v>726</v>
      </c>
      <c r="C33" s="95">
        <f>C34</f>
        <v>543098.15</v>
      </c>
    </row>
    <row r="34" spans="1:3" ht="31.5">
      <c r="A34" s="230" t="s">
        <v>727</v>
      </c>
      <c r="B34" s="20" t="s">
        <v>728</v>
      </c>
      <c r="C34" s="95">
        <f>513098.15+10000+20000</f>
        <v>543098.15</v>
      </c>
    </row>
  </sheetData>
  <sheetProtection/>
  <mergeCells count="1">
    <mergeCell ref="A14:C14"/>
  </mergeCells>
  <printOptions/>
  <pageMargins left="1.3779527559055118" right="0.3937007874015748" top="0.7874015748031497" bottom="0.7874015748031497" header="0.5118110236220472" footer="0.5118110236220472"/>
  <pageSetup fitToHeight="2" horizontalDpi="600" verticalDpi="600" orientation="portrait" paperSize="9" scale="70" r:id="rId1"/>
  <headerFooter>
    <oddFooter>&amp;L197/мз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F298"/>
  <sheetViews>
    <sheetView zoomScaleSheetLayoutView="100" zoomScalePageLayoutView="0" workbookViewId="0" topLeftCell="A1">
      <selection activeCell="B5" sqref="B5"/>
    </sheetView>
  </sheetViews>
  <sheetFormatPr defaultColWidth="8.875" defaultRowHeight="12.75"/>
  <cols>
    <col min="1" max="1" width="75.00390625" style="9" customWidth="1"/>
    <col min="2" max="2" width="19.125" style="96" customWidth="1"/>
    <col min="3" max="3" width="6.875" style="97" customWidth="1"/>
    <col min="4" max="4" width="13.125" style="98" customWidth="1"/>
    <col min="5" max="5" width="13.875" style="10" customWidth="1"/>
    <col min="6" max="16384" width="8.875" style="9" customWidth="1"/>
  </cols>
  <sheetData>
    <row r="1" spans="2:6" ht="15.75">
      <c r="B1" s="26" t="s">
        <v>729</v>
      </c>
      <c r="C1" s="23"/>
      <c r="D1" s="27"/>
      <c r="E1" s="28"/>
      <c r="F1" s="10"/>
    </row>
    <row r="2" spans="2:6" ht="15.75">
      <c r="B2" s="26" t="s">
        <v>588</v>
      </c>
      <c r="C2" s="23"/>
      <c r="D2" s="27"/>
      <c r="E2" s="28"/>
      <c r="F2" s="10"/>
    </row>
    <row r="3" spans="2:6" ht="15.75">
      <c r="B3" s="26" t="s">
        <v>589</v>
      </c>
      <c r="C3" s="23"/>
      <c r="D3" s="27"/>
      <c r="E3" s="28"/>
      <c r="F3" s="10"/>
    </row>
    <row r="4" spans="2:6" ht="15.75">
      <c r="B4" s="26" t="s">
        <v>590</v>
      </c>
      <c r="C4" s="23"/>
      <c r="D4" s="23"/>
      <c r="E4" s="28"/>
      <c r="F4" s="10"/>
    </row>
    <row r="5" spans="2:6" ht="15.75">
      <c r="B5" s="26" t="s">
        <v>734</v>
      </c>
      <c r="C5" s="23"/>
      <c r="D5" s="27"/>
      <c r="E5" s="28"/>
      <c r="F5" s="10"/>
    </row>
    <row r="6" spans="2:6" ht="15.75">
      <c r="B6" s="26"/>
      <c r="C6" s="23"/>
      <c r="D6" s="27"/>
      <c r="E6" s="28"/>
      <c r="F6" s="10"/>
    </row>
    <row r="7" ht="15.75">
      <c r="B7" s="9" t="s">
        <v>395</v>
      </c>
    </row>
    <row r="8" ht="15.75">
      <c r="B8" s="9" t="s">
        <v>393</v>
      </c>
    </row>
    <row r="9" ht="15.75">
      <c r="B9" s="9" t="s">
        <v>71</v>
      </c>
    </row>
    <row r="10" ht="15.75">
      <c r="B10" s="9" t="s">
        <v>394</v>
      </c>
    </row>
    <row r="11" ht="15.75">
      <c r="B11" s="9" t="s">
        <v>73</v>
      </c>
    </row>
    <row r="12" spans="2:4" ht="15.75">
      <c r="B12" s="26" t="s">
        <v>74</v>
      </c>
      <c r="C12" s="99"/>
      <c r="D12" s="100"/>
    </row>
    <row r="13" spans="2:4" ht="15.75">
      <c r="B13" s="26"/>
      <c r="C13" s="99"/>
      <c r="D13" s="100"/>
    </row>
    <row r="14" spans="1:4" ht="57.75" customHeight="1">
      <c r="A14" s="239" t="s">
        <v>396</v>
      </c>
      <c r="B14" s="239"/>
      <c r="C14" s="239"/>
      <c r="D14" s="239"/>
    </row>
    <row r="15" ht="29.25" customHeight="1" hidden="1">
      <c r="B15" s="26"/>
    </row>
    <row r="16" spans="1:4" ht="27" customHeight="1">
      <c r="A16" s="101"/>
      <c r="B16" s="102"/>
      <c r="C16" s="103"/>
      <c r="D16" s="104" t="s">
        <v>76</v>
      </c>
    </row>
    <row r="17" spans="1:4" ht="15.75">
      <c r="A17" s="12" t="s">
        <v>67</v>
      </c>
      <c r="B17" s="16" t="s">
        <v>82</v>
      </c>
      <c r="C17" s="16" t="s">
        <v>83</v>
      </c>
      <c r="D17" s="13" t="s">
        <v>397</v>
      </c>
    </row>
    <row r="18" spans="1:5" s="19" customFormat="1" ht="47.25">
      <c r="A18" s="105" t="s">
        <v>398</v>
      </c>
      <c r="B18" s="36" t="s">
        <v>136</v>
      </c>
      <c r="C18" s="14"/>
      <c r="D18" s="51">
        <f>D19+D25+D28+D22+D31</f>
        <v>726.0999999999999</v>
      </c>
      <c r="E18" s="190"/>
    </row>
    <row r="19" spans="1:5" s="19" customFormat="1" ht="15.75">
      <c r="A19" s="53" t="s">
        <v>164</v>
      </c>
      <c r="B19" s="40" t="s">
        <v>166</v>
      </c>
      <c r="C19" s="20"/>
      <c r="D19" s="41">
        <f>D20</f>
        <v>7.5</v>
      </c>
      <c r="E19" s="190"/>
    </row>
    <row r="20" spans="1:5" s="19" customFormat="1" ht="15.75">
      <c r="A20" s="50" t="s">
        <v>106</v>
      </c>
      <c r="B20" s="40" t="s">
        <v>166</v>
      </c>
      <c r="C20" s="106" t="s">
        <v>107</v>
      </c>
      <c r="D20" s="41">
        <f>D21</f>
        <v>7.5</v>
      </c>
      <c r="E20" s="190"/>
    </row>
    <row r="21" spans="1:5" s="19" customFormat="1" ht="31.5">
      <c r="A21" s="50" t="s">
        <v>108</v>
      </c>
      <c r="B21" s="40" t="s">
        <v>166</v>
      </c>
      <c r="C21" s="106" t="s">
        <v>109</v>
      </c>
      <c r="D21" s="41">
        <v>7.5</v>
      </c>
      <c r="E21" s="190"/>
    </row>
    <row r="22" spans="1:5" s="19" customFormat="1" ht="15.75">
      <c r="A22" s="53" t="s">
        <v>169</v>
      </c>
      <c r="B22" s="40" t="s">
        <v>171</v>
      </c>
      <c r="C22" s="1"/>
      <c r="D22" s="41">
        <f>D23</f>
        <v>132.2</v>
      </c>
      <c r="E22" s="190"/>
    </row>
    <row r="23" spans="1:5" s="19" customFormat="1" ht="15.75">
      <c r="A23" s="50" t="s">
        <v>106</v>
      </c>
      <c r="B23" s="40" t="s">
        <v>171</v>
      </c>
      <c r="C23" s="106" t="s">
        <v>107</v>
      </c>
      <c r="D23" s="41">
        <f>D24</f>
        <v>132.2</v>
      </c>
      <c r="E23" s="190"/>
    </row>
    <row r="24" spans="1:5" s="19" customFormat="1" ht="31.5">
      <c r="A24" s="50" t="s">
        <v>108</v>
      </c>
      <c r="B24" s="40" t="s">
        <v>171</v>
      </c>
      <c r="C24" s="106" t="s">
        <v>109</v>
      </c>
      <c r="D24" s="41">
        <f>99.7+32.5</f>
        <v>132.2</v>
      </c>
      <c r="E24" s="190"/>
    </row>
    <row r="25" spans="1:5" s="19" customFormat="1" ht="31.5">
      <c r="A25" s="53" t="s">
        <v>172</v>
      </c>
      <c r="B25" s="40" t="s">
        <v>173</v>
      </c>
      <c r="C25" s="1"/>
      <c r="D25" s="41">
        <f>D26</f>
        <v>53.3</v>
      </c>
      <c r="E25" s="190"/>
    </row>
    <row r="26" spans="1:5" s="19" customFormat="1" ht="15.75">
      <c r="A26" s="50" t="s">
        <v>106</v>
      </c>
      <c r="B26" s="40" t="s">
        <v>173</v>
      </c>
      <c r="C26" s="106" t="s">
        <v>107</v>
      </c>
      <c r="D26" s="41">
        <f>D27</f>
        <v>53.3</v>
      </c>
      <c r="E26" s="190"/>
    </row>
    <row r="27" spans="1:5" s="19" customFormat="1" ht="31.5">
      <c r="A27" s="50" t="s">
        <v>108</v>
      </c>
      <c r="B27" s="40" t="s">
        <v>173</v>
      </c>
      <c r="C27" s="106" t="s">
        <v>109</v>
      </c>
      <c r="D27" s="41">
        <v>53.3</v>
      </c>
      <c r="E27" s="190"/>
    </row>
    <row r="28" spans="1:5" s="19" customFormat="1" ht="31.5">
      <c r="A28" s="52" t="s">
        <v>167</v>
      </c>
      <c r="B28" s="40" t="s">
        <v>168</v>
      </c>
      <c r="C28" s="1"/>
      <c r="D28" s="41">
        <f>D29</f>
        <v>33.099999999999994</v>
      </c>
      <c r="E28" s="190"/>
    </row>
    <row r="29" spans="1:5" s="19" customFormat="1" ht="15.75">
      <c r="A29" s="50" t="s">
        <v>106</v>
      </c>
      <c r="B29" s="40" t="s">
        <v>168</v>
      </c>
      <c r="C29" s="106" t="s">
        <v>107</v>
      </c>
      <c r="D29" s="41">
        <f>D30</f>
        <v>33.099999999999994</v>
      </c>
      <c r="E29" s="190"/>
    </row>
    <row r="30" spans="1:5" s="19" customFormat="1" ht="31.5">
      <c r="A30" s="50" t="s">
        <v>108</v>
      </c>
      <c r="B30" s="40" t="s">
        <v>168</v>
      </c>
      <c r="C30" s="106" t="s">
        <v>109</v>
      </c>
      <c r="D30" s="41">
        <f>8.6+57-32.5</f>
        <v>33.099999999999994</v>
      </c>
      <c r="E30" s="190"/>
    </row>
    <row r="31" spans="1:5" s="19" customFormat="1" ht="31.5">
      <c r="A31" s="48" t="s">
        <v>137</v>
      </c>
      <c r="B31" s="40" t="s">
        <v>138</v>
      </c>
      <c r="C31" s="106"/>
      <c r="D31" s="41">
        <f>D32</f>
        <v>500</v>
      </c>
      <c r="E31" s="190"/>
    </row>
    <row r="32" spans="1:5" s="19" customFormat="1" ht="15.75">
      <c r="A32" s="39" t="s">
        <v>110</v>
      </c>
      <c r="B32" s="40" t="s">
        <v>138</v>
      </c>
      <c r="C32" s="14" t="s">
        <v>111</v>
      </c>
      <c r="D32" s="41">
        <f>D33</f>
        <v>500</v>
      </c>
      <c r="E32" s="190"/>
    </row>
    <row r="33" spans="1:5" s="19" customFormat="1" ht="15.75">
      <c r="A33" s="42" t="s">
        <v>133</v>
      </c>
      <c r="B33" s="40" t="s">
        <v>138</v>
      </c>
      <c r="C33" s="14" t="s">
        <v>134</v>
      </c>
      <c r="D33" s="41">
        <v>500</v>
      </c>
      <c r="E33" s="190"/>
    </row>
    <row r="34" spans="1:5" s="19" customFormat="1" ht="47.25">
      <c r="A34" s="105" t="s">
        <v>178</v>
      </c>
      <c r="B34" s="36" t="s">
        <v>179</v>
      </c>
      <c r="C34" s="107"/>
      <c r="D34" s="13">
        <f>D35</f>
        <v>86096.31</v>
      </c>
      <c r="E34" s="190"/>
    </row>
    <row r="35" spans="1:5" s="19" customFormat="1" ht="15.75">
      <c r="A35" s="52" t="s">
        <v>180</v>
      </c>
      <c r="B35" s="40" t="s">
        <v>182</v>
      </c>
      <c r="C35" s="14"/>
      <c r="D35" s="41">
        <f>D36+D40+D43+D38</f>
        <v>86096.31</v>
      </c>
      <c r="E35" s="190"/>
    </row>
    <row r="36" spans="1:5" s="19" customFormat="1" ht="15.75">
      <c r="A36" s="50" t="s">
        <v>181</v>
      </c>
      <c r="B36" s="40" t="s">
        <v>182</v>
      </c>
      <c r="C36" s="14" t="s">
        <v>107</v>
      </c>
      <c r="D36" s="41">
        <f>D37</f>
        <v>45644.429999999986</v>
      </c>
      <c r="E36" s="190"/>
    </row>
    <row r="37" spans="1:5" s="19" customFormat="1" ht="15.75">
      <c r="A37" s="50" t="s">
        <v>106</v>
      </c>
      <c r="B37" s="40" t="s">
        <v>182</v>
      </c>
      <c r="C37" s="14" t="s">
        <v>109</v>
      </c>
      <c r="D37" s="41">
        <f>15135.7-700-1324.4-6100.6+200+120+2035.3+50000+15976.9-8610.8-9478.4-500-8771.9-1638-70-500-50-79.37</f>
        <v>45644.429999999986</v>
      </c>
      <c r="E37" s="10"/>
    </row>
    <row r="38" spans="1:5" s="19" customFormat="1" ht="15.75">
      <c r="A38" s="50" t="s">
        <v>110</v>
      </c>
      <c r="B38" s="40" t="s">
        <v>182</v>
      </c>
      <c r="C38" s="14" t="s">
        <v>111</v>
      </c>
      <c r="D38" s="41">
        <f>D39</f>
        <v>200</v>
      </c>
      <c r="E38" s="10"/>
    </row>
    <row r="39" spans="1:5" s="19" customFormat="1" ht="15.75">
      <c r="A39" s="50" t="s">
        <v>112</v>
      </c>
      <c r="B39" s="40" t="s">
        <v>182</v>
      </c>
      <c r="C39" s="14" t="s">
        <v>113</v>
      </c>
      <c r="D39" s="41">
        <v>200</v>
      </c>
      <c r="E39" s="10"/>
    </row>
    <row r="40" spans="1:5" s="19" customFormat="1" ht="15.75">
      <c r="A40" s="50" t="s">
        <v>183</v>
      </c>
      <c r="B40" s="40" t="s">
        <v>184</v>
      </c>
      <c r="C40" s="106"/>
      <c r="D40" s="41">
        <f>D41</f>
        <v>28534.78</v>
      </c>
      <c r="E40" s="190"/>
    </row>
    <row r="41" spans="1:5" s="19" customFormat="1" ht="15.75">
      <c r="A41" s="50" t="s">
        <v>106</v>
      </c>
      <c r="B41" s="40" t="s">
        <v>184</v>
      </c>
      <c r="C41" s="106" t="s">
        <v>107</v>
      </c>
      <c r="D41" s="41">
        <f>D42</f>
        <v>28534.78</v>
      </c>
      <c r="E41" s="190"/>
    </row>
    <row r="42" spans="1:5" s="19" customFormat="1" ht="31.5">
      <c r="A42" s="50" t="s">
        <v>108</v>
      </c>
      <c r="B42" s="40" t="s">
        <v>184</v>
      </c>
      <c r="C42" s="106" t="s">
        <v>109</v>
      </c>
      <c r="D42" s="41">
        <f>25289.1+2877.73+961.93-415.18-78.8-100</f>
        <v>28534.78</v>
      </c>
      <c r="E42" s="10"/>
    </row>
    <row r="43" spans="1:5" s="19" customFormat="1" ht="63">
      <c r="A43" s="50" t="s">
        <v>185</v>
      </c>
      <c r="B43" s="40" t="s">
        <v>186</v>
      </c>
      <c r="C43" s="14"/>
      <c r="D43" s="41">
        <f>D44</f>
        <v>11717.1</v>
      </c>
      <c r="E43" s="190"/>
    </row>
    <row r="44" spans="1:5" s="19" customFormat="1" ht="15.75">
      <c r="A44" s="50" t="s">
        <v>106</v>
      </c>
      <c r="B44" s="40" t="s">
        <v>186</v>
      </c>
      <c r="C44" s="14" t="s">
        <v>107</v>
      </c>
      <c r="D44" s="41">
        <f>D45</f>
        <v>11717.1</v>
      </c>
      <c r="E44" s="190"/>
    </row>
    <row r="45" spans="1:5" s="19" customFormat="1" ht="31.5">
      <c r="A45" s="50" t="s">
        <v>108</v>
      </c>
      <c r="B45" s="40" t="s">
        <v>186</v>
      </c>
      <c r="C45" s="14" t="s">
        <v>109</v>
      </c>
      <c r="D45" s="41">
        <f>11410+649.2-342-0.1</f>
        <v>11717.1</v>
      </c>
      <c r="E45" s="190"/>
    </row>
    <row r="46" spans="1:5" s="19" customFormat="1" ht="47.25">
      <c r="A46" s="105" t="s">
        <v>249</v>
      </c>
      <c r="B46" s="36" t="s">
        <v>250</v>
      </c>
      <c r="C46" s="107"/>
      <c r="D46" s="13">
        <f>D47+D49+D52</f>
        <v>48159.42</v>
      </c>
      <c r="E46" s="190"/>
    </row>
    <row r="47" spans="1:5" s="19" customFormat="1" ht="15.75">
      <c r="A47" s="50" t="s">
        <v>106</v>
      </c>
      <c r="B47" s="40" t="s">
        <v>251</v>
      </c>
      <c r="C47" s="106" t="s">
        <v>107</v>
      </c>
      <c r="D47" s="41">
        <f>D48</f>
        <v>14559.419999999998</v>
      </c>
      <c r="E47" s="190"/>
    </row>
    <row r="48" spans="1:5" s="19" customFormat="1" ht="31.5">
      <c r="A48" s="50" t="s">
        <v>108</v>
      </c>
      <c r="B48" s="40" t="s">
        <v>251</v>
      </c>
      <c r="C48" s="106" t="s">
        <v>109</v>
      </c>
      <c r="D48" s="41">
        <f>3322-77+464.8+6628.2-550+1420.9+1676.22+1000+927.4+496.9-750</f>
        <v>14559.419999999998</v>
      </c>
      <c r="E48" s="10"/>
    </row>
    <row r="49" spans="1:5" s="19" customFormat="1" ht="78.75">
      <c r="A49" s="15" t="s">
        <v>549</v>
      </c>
      <c r="B49" s="40" t="s">
        <v>550</v>
      </c>
      <c r="C49" s="58"/>
      <c r="D49" s="41">
        <f>D50</f>
        <v>23500</v>
      </c>
      <c r="E49" s="10"/>
    </row>
    <row r="50" spans="1:5" s="19" customFormat="1" ht="15.75">
      <c r="A50" s="15" t="s">
        <v>110</v>
      </c>
      <c r="B50" s="40" t="s">
        <v>550</v>
      </c>
      <c r="C50" s="58" t="s">
        <v>111</v>
      </c>
      <c r="D50" s="41">
        <f>D51</f>
        <v>23500</v>
      </c>
      <c r="E50" s="10"/>
    </row>
    <row r="51" spans="1:5" s="19" customFormat="1" ht="63">
      <c r="A51" s="15" t="s">
        <v>65</v>
      </c>
      <c r="B51" s="40" t="s">
        <v>550</v>
      </c>
      <c r="C51" s="58" t="s">
        <v>66</v>
      </c>
      <c r="D51" s="41">
        <f>10000+13500</f>
        <v>23500</v>
      </c>
      <c r="E51" s="10"/>
    </row>
    <row r="52" spans="1:5" s="19" customFormat="1" ht="60">
      <c r="A52" s="201" t="s">
        <v>584</v>
      </c>
      <c r="B52" s="40" t="s">
        <v>581</v>
      </c>
      <c r="C52" s="58"/>
      <c r="D52" s="41">
        <f>D53+D56</f>
        <v>10100</v>
      </c>
      <c r="E52" s="10"/>
    </row>
    <row r="53" spans="1:5" s="19" customFormat="1" ht="60">
      <c r="A53" s="201" t="s">
        <v>585</v>
      </c>
      <c r="B53" s="40" t="s">
        <v>581</v>
      </c>
      <c r="C53" s="58"/>
      <c r="D53" s="41">
        <f>D54</f>
        <v>6100</v>
      </c>
      <c r="E53" s="10"/>
    </row>
    <row r="54" spans="1:5" s="19" customFormat="1" ht="15.75">
      <c r="A54" s="199" t="s">
        <v>110</v>
      </c>
      <c r="B54" s="40" t="s">
        <v>581</v>
      </c>
      <c r="C54" s="58" t="s">
        <v>111</v>
      </c>
      <c r="D54" s="41">
        <f>D55</f>
        <v>6100</v>
      </c>
      <c r="E54" s="10"/>
    </row>
    <row r="55" spans="1:5" s="19" customFormat="1" ht="45">
      <c r="A55" s="200" t="s">
        <v>580</v>
      </c>
      <c r="B55" s="40" t="s">
        <v>581</v>
      </c>
      <c r="C55" s="58" t="s">
        <v>237</v>
      </c>
      <c r="D55" s="41">
        <v>6100</v>
      </c>
      <c r="E55" s="10"/>
    </row>
    <row r="56" spans="1:5" s="19" customFormat="1" ht="60">
      <c r="A56" s="201" t="s">
        <v>586</v>
      </c>
      <c r="B56" s="40" t="s">
        <v>581</v>
      </c>
      <c r="C56" s="58"/>
      <c r="D56" s="41">
        <f>D57</f>
        <v>4000</v>
      </c>
      <c r="E56" s="10"/>
    </row>
    <row r="57" spans="1:5" s="19" customFormat="1" ht="15.75">
      <c r="A57" s="199" t="s">
        <v>110</v>
      </c>
      <c r="B57" s="40" t="s">
        <v>581</v>
      </c>
      <c r="C57" s="58" t="s">
        <v>111</v>
      </c>
      <c r="D57" s="41">
        <f>D58</f>
        <v>4000</v>
      </c>
      <c r="E57" s="10"/>
    </row>
    <row r="58" spans="1:5" s="19" customFormat="1" ht="45">
      <c r="A58" s="200" t="s">
        <v>580</v>
      </c>
      <c r="B58" s="40" t="s">
        <v>581</v>
      </c>
      <c r="C58" s="58" t="s">
        <v>237</v>
      </c>
      <c r="D58" s="41">
        <v>4000</v>
      </c>
      <c r="E58" s="10"/>
    </row>
    <row r="59" spans="1:4" ht="31.5">
      <c r="A59" s="105" t="s">
        <v>303</v>
      </c>
      <c r="B59" s="31" t="s">
        <v>304</v>
      </c>
      <c r="C59" s="1"/>
      <c r="D59" s="13">
        <f>D60+D68+D64</f>
        <v>40826.1</v>
      </c>
    </row>
    <row r="60" spans="1:5" s="19" customFormat="1" ht="31.5">
      <c r="A60" s="50" t="s">
        <v>305</v>
      </c>
      <c r="B60" s="40" t="s">
        <v>399</v>
      </c>
      <c r="C60" s="1"/>
      <c r="D60" s="41">
        <f>D61</f>
        <v>33246.1</v>
      </c>
      <c r="E60" s="190"/>
    </row>
    <row r="61" spans="1:4" ht="15.75">
      <c r="A61" s="50" t="s">
        <v>307</v>
      </c>
      <c r="B61" s="40" t="s">
        <v>399</v>
      </c>
      <c r="C61" s="1"/>
      <c r="D61" s="41">
        <f>D62</f>
        <v>33246.1</v>
      </c>
    </row>
    <row r="62" spans="1:4" ht="31.5">
      <c r="A62" s="50" t="s">
        <v>260</v>
      </c>
      <c r="B62" s="40" t="s">
        <v>399</v>
      </c>
      <c r="C62" s="1" t="s">
        <v>261</v>
      </c>
      <c r="D62" s="41">
        <f>D63</f>
        <v>33246.1</v>
      </c>
    </row>
    <row r="63" spans="1:4" ht="15.75">
      <c r="A63" s="50" t="s">
        <v>262</v>
      </c>
      <c r="B63" s="40" t="s">
        <v>399</v>
      </c>
      <c r="C63" s="1" t="s">
        <v>263</v>
      </c>
      <c r="D63" s="41">
        <f>26729.1+400+50+420+1000+4647</f>
        <v>33246.1</v>
      </c>
    </row>
    <row r="64" spans="1:4" ht="31.5">
      <c r="A64" s="50" t="s">
        <v>308</v>
      </c>
      <c r="B64" s="40" t="s">
        <v>400</v>
      </c>
      <c r="C64" s="1"/>
      <c r="D64" s="41">
        <f>D65</f>
        <v>7500</v>
      </c>
    </row>
    <row r="65" spans="1:4" ht="15.75">
      <c r="A65" s="50" t="s">
        <v>106</v>
      </c>
      <c r="B65" s="40" t="s">
        <v>400</v>
      </c>
      <c r="C65" s="1" t="s">
        <v>107</v>
      </c>
      <c r="D65" s="41">
        <f>D66</f>
        <v>7500</v>
      </c>
    </row>
    <row r="66" spans="1:4" ht="31.5">
      <c r="A66" s="15" t="s">
        <v>108</v>
      </c>
      <c r="B66" s="40" t="s">
        <v>400</v>
      </c>
      <c r="C66" s="1" t="s">
        <v>109</v>
      </c>
      <c r="D66" s="41">
        <f>15500-8000</f>
        <v>7500</v>
      </c>
    </row>
    <row r="67" spans="1:4" ht="31.5">
      <c r="A67" s="50" t="s">
        <v>310</v>
      </c>
      <c r="B67" s="40" t="s">
        <v>401</v>
      </c>
      <c r="C67" s="1"/>
      <c r="D67" s="41">
        <f>D68</f>
        <v>80</v>
      </c>
    </row>
    <row r="68" spans="1:4" ht="15.75">
      <c r="A68" s="50" t="s">
        <v>312</v>
      </c>
      <c r="B68" s="40" t="s">
        <v>401</v>
      </c>
      <c r="C68" s="14"/>
      <c r="D68" s="41">
        <f>D69</f>
        <v>80</v>
      </c>
    </row>
    <row r="69" spans="1:4" ht="15.75">
      <c r="A69" s="50" t="s">
        <v>106</v>
      </c>
      <c r="B69" s="40" t="s">
        <v>401</v>
      </c>
      <c r="C69" s="1" t="s">
        <v>107</v>
      </c>
      <c r="D69" s="41">
        <f>D70</f>
        <v>80</v>
      </c>
    </row>
    <row r="70" spans="1:4" ht="31.5">
      <c r="A70" s="15" t="s">
        <v>108</v>
      </c>
      <c r="B70" s="40" t="s">
        <v>401</v>
      </c>
      <c r="C70" s="1" t="s">
        <v>109</v>
      </c>
      <c r="D70" s="41">
        <f>450-420+50</f>
        <v>80</v>
      </c>
    </row>
    <row r="71" spans="1:4" ht="31.5">
      <c r="A71" s="105" t="s">
        <v>328</v>
      </c>
      <c r="B71" s="31" t="s">
        <v>329</v>
      </c>
      <c r="C71" s="14"/>
      <c r="D71" s="51">
        <f>D72+D75+D111</f>
        <v>99472.528</v>
      </c>
    </row>
    <row r="72" spans="1:4" ht="31.5">
      <c r="A72" s="50" t="s">
        <v>330</v>
      </c>
      <c r="B72" s="43" t="s">
        <v>332</v>
      </c>
      <c r="C72" s="16"/>
      <c r="D72" s="41">
        <f>D73</f>
        <v>16845.737999999998</v>
      </c>
    </row>
    <row r="73" spans="1:4" ht="15.75">
      <c r="A73" s="50" t="s">
        <v>333</v>
      </c>
      <c r="B73" s="43" t="s">
        <v>332</v>
      </c>
      <c r="C73" s="14" t="s">
        <v>261</v>
      </c>
      <c r="D73" s="41">
        <f>D74</f>
        <v>16845.737999999998</v>
      </c>
    </row>
    <row r="74" spans="1:4" ht="31.5">
      <c r="A74" s="50" t="s">
        <v>260</v>
      </c>
      <c r="B74" s="43" t="s">
        <v>332</v>
      </c>
      <c r="C74" s="1" t="s">
        <v>263</v>
      </c>
      <c r="D74" s="41">
        <f>15035.6+1037.3+172.838+300+300</f>
        <v>16845.737999999998</v>
      </c>
    </row>
    <row r="75" spans="1:4" ht="15.75">
      <c r="A75" s="50" t="s">
        <v>336</v>
      </c>
      <c r="B75" s="43" t="s">
        <v>329</v>
      </c>
      <c r="C75" s="1"/>
      <c r="D75" s="49">
        <f>D77</f>
        <v>66330.1</v>
      </c>
    </row>
    <row r="76" spans="1:4" ht="15.75">
      <c r="A76" s="50" t="s">
        <v>337</v>
      </c>
      <c r="B76" s="43" t="s">
        <v>338</v>
      </c>
      <c r="C76" s="1"/>
      <c r="D76" s="49">
        <f>D77</f>
        <v>66330.1</v>
      </c>
    </row>
    <row r="77" spans="1:4" ht="31.5" customHeight="1">
      <c r="A77" s="50" t="s">
        <v>339</v>
      </c>
      <c r="B77" s="43" t="s">
        <v>340</v>
      </c>
      <c r="C77" s="1"/>
      <c r="D77" s="49">
        <f>D78</f>
        <v>66330.1</v>
      </c>
    </row>
    <row r="78" spans="1:4" ht="15.75">
      <c r="A78" s="15" t="s">
        <v>106</v>
      </c>
      <c r="B78" s="43" t="s">
        <v>340</v>
      </c>
      <c r="C78" s="1" t="s">
        <v>107</v>
      </c>
      <c r="D78" s="49">
        <f>D79</f>
        <v>66330.1</v>
      </c>
    </row>
    <row r="79" spans="1:4" ht="31.5">
      <c r="A79" s="15" t="s">
        <v>108</v>
      </c>
      <c r="B79" s="43" t="s">
        <v>340</v>
      </c>
      <c r="C79" s="1" t="s">
        <v>109</v>
      </c>
      <c r="D79" s="49">
        <f>53333.3+0.1+12996.7</f>
        <v>66330.1</v>
      </c>
    </row>
    <row r="80" spans="1:4" ht="30" customHeight="1" hidden="1">
      <c r="A80" s="105" t="s">
        <v>402</v>
      </c>
      <c r="B80" s="43" t="s">
        <v>188</v>
      </c>
      <c r="C80" s="14"/>
      <c r="D80" s="51">
        <f>D81+D84+D90+D93+D103</f>
        <v>45143.164</v>
      </c>
    </row>
    <row r="81" spans="1:5" s="19" customFormat="1" ht="15" customHeight="1" hidden="1">
      <c r="A81" s="50" t="s">
        <v>403</v>
      </c>
      <c r="B81" s="43" t="s">
        <v>404</v>
      </c>
      <c r="C81" s="14"/>
      <c r="D81" s="41">
        <f>D82</f>
        <v>3616.864</v>
      </c>
      <c r="E81" s="190"/>
    </row>
    <row r="82" spans="1:4" ht="15" customHeight="1" hidden="1">
      <c r="A82" s="15" t="s">
        <v>106</v>
      </c>
      <c r="B82" s="43" t="s">
        <v>404</v>
      </c>
      <c r="C82" s="14" t="s">
        <v>107</v>
      </c>
      <c r="D82" s="41">
        <f>D83</f>
        <v>3616.864</v>
      </c>
    </row>
    <row r="83" spans="1:4" ht="15" customHeight="1" hidden="1">
      <c r="A83" s="15" t="s">
        <v>108</v>
      </c>
      <c r="B83" s="43" t="s">
        <v>404</v>
      </c>
      <c r="C83" s="14" t="s">
        <v>109</v>
      </c>
      <c r="D83" s="41">
        <v>3616.864</v>
      </c>
    </row>
    <row r="84" spans="1:5" s="19" customFormat="1" ht="15" customHeight="1" hidden="1">
      <c r="A84" s="50" t="s">
        <v>405</v>
      </c>
      <c r="B84" s="43" t="s">
        <v>406</v>
      </c>
      <c r="C84" s="14"/>
      <c r="D84" s="41">
        <f>D85</f>
        <v>10739.3</v>
      </c>
      <c r="E84" s="190"/>
    </row>
    <row r="85" spans="1:4" ht="15" customHeight="1" hidden="1">
      <c r="A85" s="15" t="s">
        <v>106</v>
      </c>
      <c r="B85" s="43" t="s">
        <v>406</v>
      </c>
      <c r="C85" s="14" t="s">
        <v>107</v>
      </c>
      <c r="D85" s="41">
        <f>D86</f>
        <v>10739.3</v>
      </c>
    </row>
    <row r="86" spans="1:4" ht="15" customHeight="1" hidden="1">
      <c r="A86" s="15" t="s">
        <v>108</v>
      </c>
      <c r="B86" s="43" t="s">
        <v>406</v>
      </c>
      <c r="C86" s="14" t="s">
        <v>109</v>
      </c>
      <c r="D86" s="49">
        <f>7739.3+3000</f>
        <v>10739.3</v>
      </c>
    </row>
    <row r="87" spans="1:4" ht="77.25" customHeight="1" hidden="1">
      <c r="A87" s="18" t="s">
        <v>407</v>
      </c>
      <c r="B87" s="43" t="s">
        <v>408</v>
      </c>
      <c r="C87" s="14"/>
      <c r="D87" s="49"/>
    </row>
    <row r="88" spans="1:4" ht="15" customHeight="1" hidden="1">
      <c r="A88" s="15" t="s">
        <v>106</v>
      </c>
      <c r="B88" s="43" t="s">
        <v>408</v>
      </c>
      <c r="C88" s="14" t="s">
        <v>107</v>
      </c>
      <c r="D88" s="49"/>
    </row>
    <row r="89" spans="1:4" ht="15" customHeight="1" hidden="1">
      <c r="A89" s="15" t="s">
        <v>108</v>
      </c>
      <c r="B89" s="43" t="s">
        <v>408</v>
      </c>
      <c r="C89" s="14" t="s">
        <v>109</v>
      </c>
      <c r="D89" s="49"/>
    </row>
    <row r="90" spans="1:5" s="19" customFormat="1" ht="15" customHeight="1" hidden="1">
      <c r="A90" s="50" t="s">
        <v>409</v>
      </c>
      <c r="B90" s="43" t="s">
        <v>410</v>
      </c>
      <c r="C90" s="14"/>
      <c r="D90" s="41">
        <f>D91</f>
        <v>5658.2</v>
      </c>
      <c r="E90" s="190"/>
    </row>
    <row r="91" spans="1:4" ht="30.75" customHeight="1" hidden="1">
      <c r="A91" s="50" t="s">
        <v>260</v>
      </c>
      <c r="B91" s="43" t="s">
        <v>410</v>
      </c>
      <c r="C91" s="14" t="s">
        <v>261</v>
      </c>
      <c r="D91" s="41">
        <f>D92</f>
        <v>5658.2</v>
      </c>
    </row>
    <row r="92" spans="1:4" ht="15" customHeight="1" hidden="1">
      <c r="A92" s="50" t="s">
        <v>262</v>
      </c>
      <c r="B92" s="43" t="s">
        <v>410</v>
      </c>
      <c r="C92" s="14" t="s">
        <v>263</v>
      </c>
      <c r="D92" s="41">
        <f>5423.2+235</f>
        <v>5658.2</v>
      </c>
    </row>
    <row r="93" spans="1:5" s="19" customFormat="1" ht="15" customHeight="1" hidden="1">
      <c r="A93" s="50" t="s">
        <v>411</v>
      </c>
      <c r="B93" s="43" t="s">
        <v>412</v>
      </c>
      <c r="C93" s="14"/>
      <c r="D93" s="41">
        <f>D94+D96</f>
        <v>9435.4</v>
      </c>
      <c r="E93" s="190"/>
    </row>
    <row r="94" spans="1:4" ht="15" customHeight="1" hidden="1">
      <c r="A94" s="15" t="s">
        <v>106</v>
      </c>
      <c r="B94" s="43" t="s">
        <v>413</v>
      </c>
      <c r="C94" s="14" t="s">
        <v>107</v>
      </c>
      <c r="D94" s="41">
        <f>D95</f>
        <v>1000</v>
      </c>
    </row>
    <row r="95" spans="1:4" ht="15" customHeight="1" hidden="1">
      <c r="A95" s="15" t="s">
        <v>108</v>
      </c>
      <c r="B95" s="43" t="s">
        <v>413</v>
      </c>
      <c r="C95" s="14" t="s">
        <v>109</v>
      </c>
      <c r="D95" s="49">
        <v>1000</v>
      </c>
    </row>
    <row r="96" spans="1:4" ht="46.5" customHeight="1" hidden="1">
      <c r="A96" s="39" t="s">
        <v>285</v>
      </c>
      <c r="B96" s="43" t="s">
        <v>414</v>
      </c>
      <c r="C96" s="14"/>
      <c r="D96" s="41">
        <f>D97+D99+D101</f>
        <v>8435.4</v>
      </c>
    </row>
    <row r="97" spans="1:4" ht="46.5" customHeight="1" hidden="1">
      <c r="A97" s="39" t="s">
        <v>92</v>
      </c>
      <c r="B97" s="43" t="s">
        <v>414</v>
      </c>
      <c r="C97" s="1" t="s">
        <v>93</v>
      </c>
      <c r="D97" s="41">
        <f>D98</f>
        <v>5845.4</v>
      </c>
    </row>
    <row r="98" spans="1:4" ht="15" customHeight="1" hidden="1">
      <c r="A98" s="39" t="s">
        <v>153</v>
      </c>
      <c r="B98" s="43" t="s">
        <v>414</v>
      </c>
      <c r="C98" s="1" t="s">
        <v>154</v>
      </c>
      <c r="D98" s="41">
        <v>5845.4</v>
      </c>
    </row>
    <row r="99" spans="1:4" ht="15" customHeight="1" hidden="1">
      <c r="A99" s="50" t="s">
        <v>106</v>
      </c>
      <c r="B99" s="43" t="s">
        <v>414</v>
      </c>
      <c r="C99" s="14" t="s">
        <v>107</v>
      </c>
      <c r="D99" s="41">
        <f>D100</f>
        <v>2580</v>
      </c>
    </row>
    <row r="100" spans="1:4" ht="15" customHeight="1" hidden="1">
      <c r="A100" s="50" t="s">
        <v>108</v>
      </c>
      <c r="B100" s="43" t="s">
        <v>414</v>
      </c>
      <c r="C100" s="14" t="s">
        <v>109</v>
      </c>
      <c r="D100" s="41">
        <v>2580</v>
      </c>
    </row>
    <row r="101" spans="1:4" ht="15" customHeight="1" hidden="1">
      <c r="A101" s="15" t="s">
        <v>110</v>
      </c>
      <c r="B101" s="43" t="s">
        <v>414</v>
      </c>
      <c r="C101" s="14" t="s">
        <v>111</v>
      </c>
      <c r="D101" s="41">
        <f>D102</f>
        <v>10</v>
      </c>
    </row>
    <row r="102" spans="1:4" ht="15" customHeight="1" hidden="1">
      <c r="A102" s="15" t="s">
        <v>112</v>
      </c>
      <c r="B102" s="43" t="s">
        <v>414</v>
      </c>
      <c r="C102" s="14" t="s">
        <v>113</v>
      </c>
      <c r="D102" s="41">
        <v>10</v>
      </c>
    </row>
    <row r="103" spans="1:4" ht="15" customHeight="1" hidden="1">
      <c r="A103" s="50" t="s">
        <v>415</v>
      </c>
      <c r="B103" s="43" t="s">
        <v>416</v>
      </c>
      <c r="C103" s="14"/>
      <c r="D103" s="41">
        <f>D104+D106</f>
        <v>15693.4</v>
      </c>
    </row>
    <row r="104" spans="1:4" ht="15" customHeight="1" hidden="1">
      <c r="A104" s="15" t="s">
        <v>106</v>
      </c>
      <c r="B104" s="43" t="s">
        <v>417</v>
      </c>
      <c r="C104" s="14" t="s">
        <v>107</v>
      </c>
      <c r="D104" s="41">
        <f>D105</f>
        <v>400</v>
      </c>
    </row>
    <row r="105" spans="1:4" ht="15" customHeight="1" hidden="1">
      <c r="A105" s="15" t="s">
        <v>108</v>
      </c>
      <c r="B105" s="43" t="s">
        <v>417</v>
      </c>
      <c r="C105" s="14" t="s">
        <v>109</v>
      </c>
      <c r="D105" s="49">
        <v>400</v>
      </c>
    </row>
    <row r="106" spans="1:4" ht="30.75" customHeight="1" hidden="1">
      <c r="A106" s="50" t="s">
        <v>260</v>
      </c>
      <c r="B106" s="43" t="s">
        <v>418</v>
      </c>
      <c r="C106" s="14" t="s">
        <v>261</v>
      </c>
      <c r="D106" s="41">
        <f>D107</f>
        <v>15293.4</v>
      </c>
    </row>
    <row r="107" spans="1:4" ht="15" customHeight="1" hidden="1">
      <c r="A107" s="50" t="s">
        <v>262</v>
      </c>
      <c r="B107" s="43" t="s">
        <v>418</v>
      </c>
      <c r="C107" s="14" t="s">
        <v>263</v>
      </c>
      <c r="D107" s="41">
        <f>14235+458.4+600</f>
        <v>15293.4</v>
      </c>
    </row>
    <row r="108" spans="1:4" ht="61.5" customHeight="1" hidden="1">
      <c r="A108" s="56" t="s">
        <v>419</v>
      </c>
      <c r="B108" s="43" t="s">
        <v>420</v>
      </c>
      <c r="C108" s="14"/>
      <c r="D108" s="41"/>
    </row>
    <row r="109" spans="1:4" ht="15" customHeight="1" hidden="1">
      <c r="A109" s="15" t="s">
        <v>106</v>
      </c>
      <c r="B109" s="43" t="s">
        <v>420</v>
      </c>
      <c r="C109" s="14" t="s">
        <v>107</v>
      </c>
      <c r="D109" s="41"/>
    </row>
    <row r="110" spans="1:4" ht="15" customHeight="1" hidden="1">
      <c r="A110" s="15" t="s">
        <v>108</v>
      </c>
      <c r="B110" s="43" t="s">
        <v>420</v>
      </c>
      <c r="C110" s="14" t="s">
        <v>109</v>
      </c>
      <c r="D110" s="41"/>
    </row>
    <row r="111" spans="1:4" ht="15" customHeight="1">
      <c r="A111" s="15" t="s">
        <v>341</v>
      </c>
      <c r="B111" s="43" t="s">
        <v>342</v>
      </c>
      <c r="C111" s="1"/>
      <c r="D111" s="49">
        <f>D112</f>
        <v>16296.69</v>
      </c>
    </row>
    <row r="112" spans="1:4" ht="15" customHeight="1">
      <c r="A112" s="15" t="s">
        <v>106</v>
      </c>
      <c r="B112" s="43" t="s">
        <v>342</v>
      </c>
      <c r="C112" s="1" t="s">
        <v>107</v>
      </c>
      <c r="D112" s="49">
        <f>D113</f>
        <v>16296.69</v>
      </c>
    </row>
    <row r="113" spans="1:5" ht="15" customHeight="1">
      <c r="A113" s="15" t="s">
        <v>108</v>
      </c>
      <c r="B113" s="43" t="s">
        <v>342</v>
      </c>
      <c r="C113" s="1" t="s">
        <v>109</v>
      </c>
      <c r="D113" s="49">
        <f>14964.69+1332</f>
        <v>16296.69</v>
      </c>
      <c r="E113" s="108"/>
    </row>
    <row r="114" spans="1:5" s="19" customFormat="1" ht="47.25">
      <c r="A114" s="89" t="s">
        <v>187</v>
      </c>
      <c r="B114" s="31" t="s">
        <v>188</v>
      </c>
      <c r="C114" s="16"/>
      <c r="D114" s="51">
        <f>D115+D124+D173+D191</f>
        <v>107833.98554000001</v>
      </c>
      <c r="E114" s="190"/>
    </row>
    <row r="115" spans="1:5" s="19" customFormat="1" ht="15.75">
      <c r="A115" s="50" t="s">
        <v>189</v>
      </c>
      <c r="B115" s="43" t="s">
        <v>190</v>
      </c>
      <c r="C115" s="14"/>
      <c r="D115" s="41">
        <f>D116</f>
        <v>11997.9606</v>
      </c>
      <c r="E115" s="190"/>
    </row>
    <row r="116" spans="1:5" s="19" customFormat="1" ht="15.75">
      <c r="A116" s="55" t="s">
        <v>191</v>
      </c>
      <c r="B116" s="43" t="s">
        <v>192</v>
      </c>
      <c r="C116" s="14"/>
      <c r="D116" s="41">
        <f>D117+D120</f>
        <v>11997.9606</v>
      </c>
      <c r="E116" s="190"/>
    </row>
    <row r="117" spans="1:5" s="19" customFormat="1" ht="15.75">
      <c r="A117" s="50" t="s">
        <v>193</v>
      </c>
      <c r="B117" s="43" t="s">
        <v>194</v>
      </c>
      <c r="C117" s="14"/>
      <c r="D117" s="41">
        <f>D118</f>
        <v>4968.2706</v>
      </c>
      <c r="E117" s="190"/>
    </row>
    <row r="118" spans="1:5" s="19" customFormat="1" ht="15.75">
      <c r="A118" s="50" t="s">
        <v>106</v>
      </c>
      <c r="B118" s="43" t="s">
        <v>194</v>
      </c>
      <c r="C118" s="14" t="s">
        <v>107</v>
      </c>
      <c r="D118" s="41">
        <f>D119</f>
        <v>4968.2706</v>
      </c>
      <c r="E118" s="190"/>
    </row>
    <row r="119" spans="1:5" s="19" customFormat="1" ht="31.5">
      <c r="A119" s="50" t="s">
        <v>108</v>
      </c>
      <c r="B119" s="43" t="s">
        <v>194</v>
      </c>
      <c r="C119" s="14" t="s">
        <v>109</v>
      </c>
      <c r="D119" s="41">
        <f>800+4500-331.7294</f>
        <v>4968.2706</v>
      </c>
      <c r="E119" s="190"/>
    </row>
    <row r="120" spans="1:5" s="19" customFormat="1" ht="15.75">
      <c r="A120" s="50" t="s">
        <v>421</v>
      </c>
      <c r="B120" s="43" t="s">
        <v>197</v>
      </c>
      <c r="C120" s="14"/>
      <c r="D120" s="41">
        <f>D121</f>
        <v>7029.6900000000005</v>
      </c>
      <c r="E120" s="190"/>
    </row>
    <row r="121" spans="1:5" s="19" customFormat="1" ht="16.5" customHeight="1">
      <c r="A121" s="50" t="s">
        <v>198</v>
      </c>
      <c r="B121" s="43" t="s">
        <v>199</v>
      </c>
      <c r="C121" s="14"/>
      <c r="D121" s="41">
        <f>D122</f>
        <v>7029.6900000000005</v>
      </c>
      <c r="E121" s="190"/>
    </row>
    <row r="122" spans="1:5" s="19" customFormat="1" ht="15.75">
      <c r="A122" s="50" t="s">
        <v>106</v>
      </c>
      <c r="B122" s="43" t="s">
        <v>199</v>
      </c>
      <c r="C122" s="14" t="s">
        <v>107</v>
      </c>
      <c r="D122" s="41">
        <f>D123</f>
        <v>7029.6900000000005</v>
      </c>
      <c r="E122" s="190"/>
    </row>
    <row r="123" spans="1:5" s="19" customFormat="1" ht="31.5">
      <c r="A123" s="50" t="s">
        <v>108</v>
      </c>
      <c r="B123" s="43" t="s">
        <v>199</v>
      </c>
      <c r="C123" s="14" t="s">
        <v>109</v>
      </c>
      <c r="D123" s="41">
        <f>2759.13+2962.46+1308.1</f>
        <v>7029.6900000000005</v>
      </c>
      <c r="E123" s="10"/>
    </row>
    <row r="124" spans="1:4" ht="15.75">
      <c r="A124" s="50" t="s">
        <v>254</v>
      </c>
      <c r="B124" s="43" t="s">
        <v>255</v>
      </c>
      <c r="C124" s="14"/>
      <c r="D124" s="65">
        <f>D125+D138+D152+D162</f>
        <v>80556.07545</v>
      </c>
    </row>
    <row r="125" spans="1:4" ht="31.5">
      <c r="A125" s="55" t="s">
        <v>256</v>
      </c>
      <c r="B125" s="43" t="s">
        <v>257</v>
      </c>
      <c r="C125" s="14"/>
      <c r="D125" s="65">
        <f>D126+D129+D132+D135</f>
        <v>29281.7958</v>
      </c>
    </row>
    <row r="126" spans="1:4" ht="15.75">
      <c r="A126" s="50" t="s">
        <v>258</v>
      </c>
      <c r="B126" s="43" t="s">
        <v>259</v>
      </c>
      <c r="C126" s="14"/>
      <c r="D126" s="65">
        <f>D127</f>
        <v>18462.0838</v>
      </c>
    </row>
    <row r="127" spans="1:4" ht="31.5">
      <c r="A127" s="50" t="s">
        <v>260</v>
      </c>
      <c r="B127" s="43" t="s">
        <v>259</v>
      </c>
      <c r="C127" s="14" t="s">
        <v>261</v>
      </c>
      <c r="D127" s="49">
        <f>D128</f>
        <v>18462.0838</v>
      </c>
    </row>
    <row r="128" spans="1:4" ht="15.75">
      <c r="A128" s="50" t="s">
        <v>262</v>
      </c>
      <c r="B128" s="43" t="s">
        <v>259</v>
      </c>
      <c r="C128" s="14" t="s">
        <v>263</v>
      </c>
      <c r="D128" s="49">
        <f>15293.4+1324.4+830+425.0838+89.2+500</f>
        <v>18462.0838</v>
      </c>
    </row>
    <row r="129" spans="1:4" ht="15.75">
      <c r="A129" s="50" t="s">
        <v>264</v>
      </c>
      <c r="B129" s="43" t="s">
        <v>265</v>
      </c>
      <c r="C129" s="14"/>
      <c r="D129" s="65">
        <f>D130</f>
        <v>5658.2</v>
      </c>
    </row>
    <row r="130" spans="1:4" ht="31.5">
      <c r="A130" s="50" t="s">
        <v>260</v>
      </c>
      <c r="B130" s="43" t="s">
        <v>265</v>
      </c>
      <c r="C130" s="14" t="s">
        <v>261</v>
      </c>
      <c r="D130" s="49">
        <f>D131</f>
        <v>5658.2</v>
      </c>
    </row>
    <row r="131" spans="1:4" ht="15.75">
      <c r="A131" s="50" t="s">
        <v>262</v>
      </c>
      <c r="B131" s="43" t="s">
        <v>265</v>
      </c>
      <c r="C131" s="14" t="s">
        <v>263</v>
      </c>
      <c r="D131" s="49">
        <v>5658.2</v>
      </c>
    </row>
    <row r="132" spans="1:4" ht="15.75">
      <c r="A132" s="50" t="s">
        <v>266</v>
      </c>
      <c r="B132" s="43" t="s">
        <v>267</v>
      </c>
      <c r="C132" s="109"/>
      <c r="D132" s="49">
        <f>D133</f>
        <v>5061.512000000001</v>
      </c>
    </row>
    <row r="133" spans="1:4" ht="15.75">
      <c r="A133" s="15" t="s">
        <v>106</v>
      </c>
      <c r="B133" s="43" t="s">
        <v>267</v>
      </c>
      <c r="C133" s="14" t="s">
        <v>107</v>
      </c>
      <c r="D133" s="49">
        <f>D134</f>
        <v>5061.512000000001</v>
      </c>
    </row>
    <row r="134" spans="1:4" ht="31.5">
      <c r="A134" s="15" t="s">
        <v>108</v>
      </c>
      <c r="B134" s="43" t="s">
        <v>267</v>
      </c>
      <c r="C134" s="14" t="s">
        <v>109</v>
      </c>
      <c r="D134" s="49">
        <f>4236.6+409.732+415.18</f>
        <v>5061.512000000001</v>
      </c>
    </row>
    <row r="135" spans="1:4" ht="15.75">
      <c r="A135" s="50" t="s">
        <v>268</v>
      </c>
      <c r="B135" s="43" t="s">
        <v>269</v>
      </c>
      <c r="C135" s="109"/>
      <c r="D135" s="49">
        <f>D136</f>
        <v>100</v>
      </c>
    </row>
    <row r="136" spans="1:4" ht="15.75">
      <c r="A136" s="15" t="s">
        <v>106</v>
      </c>
      <c r="B136" s="43" t="s">
        <v>269</v>
      </c>
      <c r="C136" s="14" t="s">
        <v>107</v>
      </c>
      <c r="D136" s="49">
        <f>D137</f>
        <v>100</v>
      </c>
    </row>
    <row r="137" spans="1:4" ht="31.5">
      <c r="A137" s="15" t="s">
        <v>108</v>
      </c>
      <c r="B137" s="43" t="s">
        <v>269</v>
      </c>
      <c r="C137" s="14" t="s">
        <v>109</v>
      </c>
      <c r="D137" s="49">
        <v>100</v>
      </c>
    </row>
    <row r="138" spans="1:4" ht="15.75">
      <c r="A138" s="55" t="s">
        <v>270</v>
      </c>
      <c r="B138" s="43" t="s">
        <v>271</v>
      </c>
      <c r="C138" s="14"/>
      <c r="D138" s="49">
        <f>D139+D142+D149+D146</f>
        <v>21184.199650000002</v>
      </c>
    </row>
    <row r="139" spans="1:4" ht="15.75">
      <c r="A139" s="50" t="s">
        <v>272</v>
      </c>
      <c r="B139" s="43" t="s">
        <v>273</v>
      </c>
      <c r="C139" s="14"/>
      <c r="D139" s="49">
        <f>D140</f>
        <v>4332.5</v>
      </c>
    </row>
    <row r="140" spans="1:4" ht="15.75">
      <c r="A140" s="15" t="s">
        <v>106</v>
      </c>
      <c r="B140" s="43" t="s">
        <v>273</v>
      </c>
      <c r="C140" s="14" t="s">
        <v>107</v>
      </c>
      <c r="D140" s="49">
        <f>D141</f>
        <v>4332.5</v>
      </c>
    </row>
    <row r="141" spans="1:4" ht="31.5">
      <c r="A141" s="15" t="s">
        <v>108</v>
      </c>
      <c r="B141" s="43" t="s">
        <v>273</v>
      </c>
      <c r="C141" s="14" t="s">
        <v>109</v>
      </c>
      <c r="D141" s="49">
        <f>4513-180.5</f>
        <v>4332.5</v>
      </c>
    </row>
    <row r="142" spans="1:4" ht="31.5">
      <c r="A142" s="15" t="s">
        <v>274</v>
      </c>
      <c r="B142" s="43" t="s">
        <v>275</v>
      </c>
      <c r="C142" s="14"/>
      <c r="D142" s="49">
        <f>D143</f>
        <v>6221.219999999999</v>
      </c>
    </row>
    <row r="143" spans="1:4" ht="15.75">
      <c r="A143" s="15" t="s">
        <v>106</v>
      </c>
      <c r="B143" s="43" t="s">
        <v>275</v>
      </c>
      <c r="C143" s="14" t="s">
        <v>107</v>
      </c>
      <c r="D143" s="49">
        <f>D144</f>
        <v>6221.219999999999</v>
      </c>
    </row>
    <row r="144" spans="1:4" ht="31.5">
      <c r="A144" s="15" t="s">
        <v>108</v>
      </c>
      <c r="B144" s="43" t="s">
        <v>275</v>
      </c>
      <c r="C144" s="14" t="s">
        <v>109</v>
      </c>
      <c r="D144" s="49">
        <f>4000+2196.22+25</f>
        <v>6221.219999999999</v>
      </c>
    </row>
    <row r="145" spans="1:4" ht="15.75">
      <c r="A145" s="50" t="s">
        <v>421</v>
      </c>
      <c r="B145" s="43" t="s">
        <v>276</v>
      </c>
      <c r="C145" s="14"/>
      <c r="D145" s="49">
        <f>D146</f>
        <v>7847.120000000001</v>
      </c>
    </row>
    <row r="146" spans="1:4" ht="49.5" customHeight="1">
      <c r="A146" s="18" t="s">
        <v>277</v>
      </c>
      <c r="B146" s="43" t="s">
        <v>278</v>
      </c>
      <c r="C146" s="14"/>
      <c r="D146" s="49">
        <f>D147</f>
        <v>7847.120000000001</v>
      </c>
    </row>
    <row r="147" spans="1:4" ht="15.75">
      <c r="A147" s="15" t="s">
        <v>106</v>
      </c>
      <c r="B147" s="43" t="s">
        <v>278</v>
      </c>
      <c r="C147" s="14" t="s">
        <v>107</v>
      </c>
      <c r="D147" s="49">
        <f>D148</f>
        <v>7847.120000000001</v>
      </c>
    </row>
    <row r="148" spans="1:4" ht="31.5">
      <c r="A148" s="15" t="s">
        <v>108</v>
      </c>
      <c r="B148" s="43" t="s">
        <v>278</v>
      </c>
      <c r="C148" s="14" t="s">
        <v>109</v>
      </c>
      <c r="D148" s="49">
        <f>6513.83+1420.19-86.9</f>
        <v>7847.120000000001</v>
      </c>
    </row>
    <row r="149" spans="1:4" ht="15.75">
      <c r="A149" s="50" t="s">
        <v>279</v>
      </c>
      <c r="B149" s="43" t="s">
        <v>280</v>
      </c>
      <c r="C149" s="14"/>
      <c r="D149" s="49">
        <f>D150</f>
        <v>2783.359650000001</v>
      </c>
    </row>
    <row r="150" spans="1:4" ht="15.75">
      <c r="A150" s="15" t="s">
        <v>106</v>
      </c>
      <c r="B150" s="43" t="s">
        <v>280</v>
      </c>
      <c r="C150" s="14" t="s">
        <v>107</v>
      </c>
      <c r="D150" s="49">
        <f>D151</f>
        <v>2783.359650000001</v>
      </c>
    </row>
    <row r="151" spans="1:4" ht="31.5">
      <c r="A151" s="15" t="s">
        <v>108</v>
      </c>
      <c r="B151" s="43" t="s">
        <v>280</v>
      </c>
      <c r="C151" s="14" t="s">
        <v>109</v>
      </c>
      <c r="D151" s="49">
        <f>1300-517.6+110.2+1039.2-70.4+450.13025+331.7294+110.8-15.7+45</f>
        <v>2783.359650000001</v>
      </c>
    </row>
    <row r="152" spans="1:4" ht="15.75">
      <c r="A152" s="55" t="s">
        <v>281</v>
      </c>
      <c r="B152" s="43" t="s">
        <v>282</v>
      </c>
      <c r="C152" s="14"/>
      <c r="D152" s="49">
        <f>D153</f>
        <v>8265.2</v>
      </c>
    </row>
    <row r="153" spans="1:4" ht="15.75">
      <c r="A153" s="15" t="s">
        <v>283</v>
      </c>
      <c r="B153" s="43" t="s">
        <v>284</v>
      </c>
      <c r="C153" s="14"/>
      <c r="D153" s="49">
        <f>D154</f>
        <v>8265.2</v>
      </c>
    </row>
    <row r="154" spans="1:4" ht="48" customHeight="1">
      <c r="A154" s="39" t="s">
        <v>285</v>
      </c>
      <c r="B154" s="43" t="s">
        <v>284</v>
      </c>
      <c r="C154" s="14"/>
      <c r="D154" s="49">
        <f>D155+D158+D160</f>
        <v>8265.2</v>
      </c>
    </row>
    <row r="155" spans="1:4" ht="63">
      <c r="A155" s="39" t="s">
        <v>92</v>
      </c>
      <c r="B155" s="43" t="s">
        <v>284</v>
      </c>
      <c r="C155" s="14"/>
      <c r="D155" s="49">
        <f>D156</f>
        <v>6245.4</v>
      </c>
    </row>
    <row r="156" spans="1:4" ht="15.75">
      <c r="A156" s="39" t="s">
        <v>153</v>
      </c>
      <c r="B156" s="43" t="s">
        <v>284</v>
      </c>
      <c r="C156" s="14" t="s">
        <v>93</v>
      </c>
      <c r="D156" s="49">
        <f>D157</f>
        <v>6245.4</v>
      </c>
    </row>
    <row r="157" spans="1:4" ht="15.75">
      <c r="A157" s="50" t="s">
        <v>106</v>
      </c>
      <c r="B157" s="43" t="s">
        <v>284</v>
      </c>
      <c r="C157" s="14" t="s">
        <v>154</v>
      </c>
      <c r="D157" s="49">
        <v>6245.4</v>
      </c>
    </row>
    <row r="158" spans="1:4" ht="31.5">
      <c r="A158" s="50" t="s">
        <v>108</v>
      </c>
      <c r="B158" s="43" t="s">
        <v>284</v>
      </c>
      <c r="C158" s="14" t="s">
        <v>107</v>
      </c>
      <c r="D158" s="49">
        <f>D159</f>
        <v>2009.8000000000002</v>
      </c>
    </row>
    <row r="159" spans="1:4" ht="15.75">
      <c r="A159" s="39" t="s">
        <v>110</v>
      </c>
      <c r="B159" s="43" t="s">
        <v>284</v>
      </c>
      <c r="C159" s="14" t="s">
        <v>109</v>
      </c>
      <c r="D159" s="49">
        <f>4716.8-2907+200</f>
        <v>2009.8000000000002</v>
      </c>
    </row>
    <row r="160" spans="1:4" ht="15.75">
      <c r="A160" s="39" t="s">
        <v>112</v>
      </c>
      <c r="B160" s="43" t="s">
        <v>284</v>
      </c>
      <c r="C160" s="14" t="s">
        <v>111</v>
      </c>
      <c r="D160" s="49">
        <f>D161</f>
        <v>10</v>
      </c>
    </row>
    <row r="161" spans="1:4" ht="15.75">
      <c r="A161" s="39" t="s">
        <v>112</v>
      </c>
      <c r="B161" s="43" t="s">
        <v>284</v>
      </c>
      <c r="C161" s="14" t="s">
        <v>113</v>
      </c>
      <c r="D161" s="49">
        <v>10</v>
      </c>
    </row>
    <row r="162" spans="1:4" ht="15.75">
      <c r="A162" s="55" t="s">
        <v>286</v>
      </c>
      <c r="B162" s="43" t="s">
        <v>287</v>
      </c>
      <c r="C162" s="14"/>
      <c r="D162" s="49">
        <f>D163+D166</f>
        <v>21824.88</v>
      </c>
    </row>
    <row r="163" spans="1:4" ht="15.75">
      <c r="A163" s="50" t="s">
        <v>288</v>
      </c>
      <c r="B163" s="43" t="s">
        <v>289</v>
      </c>
      <c r="C163" s="14"/>
      <c r="D163" s="49">
        <f>D164</f>
        <v>21747</v>
      </c>
    </row>
    <row r="164" spans="1:4" ht="15.75">
      <c r="A164" s="15" t="s">
        <v>106</v>
      </c>
      <c r="B164" s="43" t="s">
        <v>289</v>
      </c>
      <c r="C164" s="14" t="s">
        <v>107</v>
      </c>
      <c r="D164" s="49">
        <f>D165</f>
        <v>21747</v>
      </c>
    </row>
    <row r="165" spans="1:4" ht="31.5">
      <c r="A165" s="15" t="s">
        <v>108</v>
      </c>
      <c r="B165" s="43" t="s">
        <v>289</v>
      </c>
      <c r="C165" s="14" t="s">
        <v>109</v>
      </c>
      <c r="D165" s="49">
        <f>2400-2000+750+200+90+550+60050-37750-7000-1000+1200-200+2877+1080+500</f>
        <v>21747</v>
      </c>
    </row>
    <row r="166" spans="1:4" ht="31.5">
      <c r="A166" s="50" t="s">
        <v>600</v>
      </c>
      <c r="B166" s="43" t="s">
        <v>287</v>
      </c>
      <c r="C166" s="14"/>
      <c r="D166" s="49">
        <f>D167+D170</f>
        <v>77.87999999999978</v>
      </c>
    </row>
    <row r="167" spans="1:4" ht="31.5">
      <c r="A167" s="56" t="s">
        <v>290</v>
      </c>
      <c r="B167" s="43" t="s">
        <v>601</v>
      </c>
      <c r="C167" s="14"/>
      <c r="D167" s="49">
        <f>D168</f>
        <v>77.89</v>
      </c>
    </row>
    <row r="168" spans="1:4" ht="15.75">
      <c r="A168" s="15" t="s">
        <v>106</v>
      </c>
      <c r="B168" s="43" t="s">
        <v>601</v>
      </c>
      <c r="C168" s="14" t="s">
        <v>107</v>
      </c>
      <c r="D168" s="49">
        <f>D169</f>
        <v>77.89</v>
      </c>
    </row>
    <row r="169" spans="1:4" ht="31.5">
      <c r="A169" s="15" t="s">
        <v>108</v>
      </c>
      <c r="B169" s="43" t="s">
        <v>601</v>
      </c>
      <c r="C169" s="14" t="s">
        <v>109</v>
      </c>
      <c r="D169" s="49">
        <v>77.89</v>
      </c>
    </row>
    <row r="170" spans="1:4" ht="32.25" customHeight="1" hidden="1">
      <c r="A170" s="56" t="s">
        <v>291</v>
      </c>
      <c r="B170" s="43" t="s">
        <v>292</v>
      </c>
      <c r="C170" s="14"/>
      <c r="D170" s="49">
        <f>D171</f>
        <v>-0.010000000000218279</v>
      </c>
    </row>
    <row r="171" spans="1:4" ht="15.75" hidden="1">
      <c r="A171" s="15" t="s">
        <v>106</v>
      </c>
      <c r="B171" s="43" t="s">
        <v>292</v>
      </c>
      <c r="C171" s="14" t="s">
        <v>107</v>
      </c>
      <c r="D171" s="49">
        <f>D172</f>
        <v>-0.010000000000218279</v>
      </c>
    </row>
    <row r="172" spans="1:4" ht="31.5" hidden="1">
      <c r="A172" s="15" t="s">
        <v>108</v>
      </c>
      <c r="B172" s="43" t="s">
        <v>292</v>
      </c>
      <c r="C172" s="14" t="s">
        <v>109</v>
      </c>
      <c r="D172" s="49">
        <f>5673.79+1237-6910.8</f>
        <v>-0.010000000000218279</v>
      </c>
    </row>
    <row r="173" spans="1:4" ht="31.5">
      <c r="A173" s="50" t="s">
        <v>231</v>
      </c>
      <c r="B173" s="43" t="s">
        <v>232</v>
      </c>
      <c r="C173" s="14"/>
      <c r="D173" s="49">
        <f>D174+D181+D188</f>
        <v>15018.94949</v>
      </c>
    </row>
    <row r="174" spans="1:4" ht="31.5">
      <c r="A174" s="55" t="s">
        <v>233</v>
      </c>
      <c r="B174" s="43" t="s">
        <v>234</v>
      </c>
      <c r="C174" s="14"/>
      <c r="D174" s="41">
        <f>D175</f>
        <v>360.24</v>
      </c>
    </row>
    <row r="175" spans="1:4" ht="47.25">
      <c r="A175" s="56" t="s">
        <v>235</v>
      </c>
      <c r="B175" s="43" t="s">
        <v>236</v>
      </c>
      <c r="C175" s="14"/>
      <c r="D175" s="41">
        <f>D176</f>
        <v>360.24</v>
      </c>
    </row>
    <row r="176" spans="1:4" ht="15.75">
      <c r="A176" s="50" t="s">
        <v>106</v>
      </c>
      <c r="B176" s="43" t="s">
        <v>236</v>
      </c>
      <c r="C176" s="14" t="s">
        <v>111</v>
      </c>
      <c r="D176" s="41">
        <f>D177</f>
        <v>360.24</v>
      </c>
    </row>
    <row r="177" spans="1:4" ht="31.5">
      <c r="A177" s="50" t="s">
        <v>108</v>
      </c>
      <c r="B177" s="43" t="s">
        <v>236</v>
      </c>
      <c r="C177" s="14" t="s">
        <v>237</v>
      </c>
      <c r="D177" s="41">
        <f>295.76+64.48</f>
        <v>360.24</v>
      </c>
    </row>
    <row r="178" spans="1:4" ht="47.25">
      <c r="A178" s="56" t="s">
        <v>382</v>
      </c>
      <c r="B178" s="43" t="s">
        <v>236</v>
      </c>
      <c r="C178" s="14"/>
      <c r="D178" s="41">
        <f>D179</f>
        <v>64.48</v>
      </c>
    </row>
    <row r="179" spans="1:4" ht="15.75">
      <c r="A179" s="50" t="s">
        <v>106</v>
      </c>
      <c r="B179" s="43" t="s">
        <v>236</v>
      </c>
      <c r="C179" s="14" t="s">
        <v>111</v>
      </c>
      <c r="D179" s="41">
        <f>D180</f>
        <v>64.48</v>
      </c>
    </row>
    <row r="180" spans="1:4" ht="31.5">
      <c r="A180" s="50" t="s">
        <v>108</v>
      </c>
      <c r="B180" s="43" t="s">
        <v>236</v>
      </c>
      <c r="C180" s="14" t="s">
        <v>237</v>
      </c>
      <c r="D180" s="41">
        <v>64.48</v>
      </c>
    </row>
    <row r="181" spans="1:4" ht="47.25">
      <c r="A181" s="55" t="s">
        <v>238</v>
      </c>
      <c r="B181" s="43" t="s">
        <v>239</v>
      </c>
      <c r="C181" s="14"/>
      <c r="D181" s="41">
        <f>D182+D185</f>
        <v>12108.709490000001</v>
      </c>
    </row>
    <row r="182" spans="1:4" ht="31.5">
      <c r="A182" s="15" t="s">
        <v>240</v>
      </c>
      <c r="B182" s="43" t="s">
        <v>241</v>
      </c>
      <c r="C182" s="14"/>
      <c r="D182" s="41">
        <f>D183</f>
        <v>4500</v>
      </c>
    </row>
    <row r="183" spans="1:4" ht="15.75">
      <c r="A183" s="15" t="s">
        <v>106</v>
      </c>
      <c r="B183" s="43" t="s">
        <v>241</v>
      </c>
      <c r="C183" s="14" t="s">
        <v>107</v>
      </c>
      <c r="D183" s="41">
        <f>D184</f>
        <v>4500</v>
      </c>
    </row>
    <row r="184" spans="1:4" ht="31.5">
      <c r="A184" s="15" t="s">
        <v>108</v>
      </c>
      <c r="B184" s="43" t="s">
        <v>241</v>
      </c>
      <c r="C184" s="14" t="s">
        <v>109</v>
      </c>
      <c r="D184" s="41">
        <v>4500</v>
      </c>
    </row>
    <row r="185" spans="1:4" ht="15.75">
      <c r="A185" s="15" t="s">
        <v>242</v>
      </c>
      <c r="B185" s="43" t="s">
        <v>241</v>
      </c>
      <c r="C185" s="14"/>
      <c r="D185" s="41">
        <f>D186</f>
        <v>7608.70949</v>
      </c>
    </row>
    <row r="186" spans="1:4" ht="15.75">
      <c r="A186" s="15" t="s">
        <v>106</v>
      </c>
      <c r="B186" s="43" t="s">
        <v>241</v>
      </c>
      <c r="C186" s="14" t="s">
        <v>107</v>
      </c>
      <c r="D186" s="41">
        <f>D187</f>
        <v>7608.70949</v>
      </c>
    </row>
    <row r="187" spans="1:4" ht="31.5">
      <c r="A187" s="15" t="s">
        <v>108</v>
      </c>
      <c r="B187" s="43" t="s">
        <v>241</v>
      </c>
      <c r="C187" s="14" t="s">
        <v>109</v>
      </c>
      <c r="D187" s="41">
        <f>700+2000+42.08385+776.9326+135+3954.69304</f>
        <v>7608.70949</v>
      </c>
    </row>
    <row r="188" spans="1:4" ht="31.5">
      <c r="A188" s="57" t="s">
        <v>243</v>
      </c>
      <c r="B188" s="43" t="s">
        <v>244</v>
      </c>
      <c r="C188" s="14"/>
      <c r="D188" s="41">
        <f>D189</f>
        <v>2550</v>
      </c>
    </row>
    <row r="189" spans="1:4" ht="15.75">
      <c r="A189" s="50" t="s">
        <v>106</v>
      </c>
      <c r="B189" s="43" t="s">
        <v>244</v>
      </c>
      <c r="C189" s="14" t="s">
        <v>107</v>
      </c>
      <c r="D189" s="41">
        <f>D190</f>
        <v>2550</v>
      </c>
    </row>
    <row r="190" spans="1:4" ht="31.5">
      <c r="A190" s="15" t="s">
        <v>108</v>
      </c>
      <c r="B190" s="43" t="s">
        <v>244</v>
      </c>
      <c r="C190" s="14" t="s">
        <v>109</v>
      </c>
      <c r="D190" s="41">
        <f>1800+750</f>
        <v>2550</v>
      </c>
    </row>
    <row r="191" spans="1:4" ht="31.5">
      <c r="A191" s="50" t="s">
        <v>202</v>
      </c>
      <c r="B191" s="43" t="s">
        <v>203</v>
      </c>
      <c r="C191" s="14"/>
      <c r="D191" s="41">
        <f>D192</f>
        <v>261</v>
      </c>
    </row>
    <row r="192" spans="1:4" ht="31.5">
      <c r="A192" s="55" t="s">
        <v>204</v>
      </c>
      <c r="B192" s="43" t="s">
        <v>203</v>
      </c>
      <c r="C192" s="14"/>
      <c r="D192" s="41">
        <f>D193</f>
        <v>261</v>
      </c>
    </row>
    <row r="193" spans="1:4" ht="15.75">
      <c r="A193" s="50" t="s">
        <v>206</v>
      </c>
      <c r="B193" s="43" t="s">
        <v>207</v>
      </c>
      <c r="C193" s="14"/>
      <c r="D193" s="41">
        <f>D194</f>
        <v>261</v>
      </c>
    </row>
    <row r="194" spans="1:4" ht="37.5" customHeight="1">
      <c r="A194" s="50" t="s">
        <v>208</v>
      </c>
      <c r="B194" s="43" t="s">
        <v>209</v>
      </c>
      <c r="C194" s="14"/>
      <c r="D194" s="41">
        <f>D195</f>
        <v>261</v>
      </c>
    </row>
    <row r="195" spans="1:4" ht="15.75">
      <c r="A195" s="15" t="s">
        <v>106</v>
      </c>
      <c r="B195" s="43" t="s">
        <v>209</v>
      </c>
      <c r="C195" s="14" t="s">
        <v>107</v>
      </c>
      <c r="D195" s="41">
        <f>D196</f>
        <v>261</v>
      </c>
    </row>
    <row r="196" spans="1:4" ht="31.5">
      <c r="A196" s="15" t="s">
        <v>108</v>
      </c>
      <c r="B196" s="43" t="s">
        <v>209</v>
      </c>
      <c r="C196" s="14" t="s">
        <v>109</v>
      </c>
      <c r="D196" s="41">
        <f>214+47</f>
        <v>261</v>
      </c>
    </row>
    <row r="197" spans="1:4" ht="47.25">
      <c r="A197" s="105" t="s">
        <v>422</v>
      </c>
      <c r="B197" s="31" t="s">
        <v>423</v>
      </c>
      <c r="C197" s="16"/>
      <c r="D197" s="51">
        <f>D198</f>
        <v>0</v>
      </c>
    </row>
    <row r="198" spans="1:4" ht="47.25">
      <c r="A198" s="15" t="s">
        <v>424</v>
      </c>
      <c r="B198" s="43" t="s">
        <v>425</v>
      </c>
      <c r="C198" s="95"/>
      <c r="D198" s="41">
        <f>D199</f>
        <v>0</v>
      </c>
    </row>
    <row r="199" spans="1:4" ht="15.75">
      <c r="A199" s="15" t="s">
        <v>426</v>
      </c>
      <c r="B199" s="43" t="s">
        <v>425</v>
      </c>
      <c r="C199" s="14" t="s">
        <v>322</v>
      </c>
      <c r="D199" s="41">
        <f>D200</f>
        <v>0</v>
      </c>
    </row>
    <row r="200" spans="1:4" ht="31.5">
      <c r="A200" s="15" t="s">
        <v>427</v>
      </c>
      <c r="B200" s="43" t="s">
        <v>425</v>
      </c>
      <c r="C200" s="14" t="s">
        <v>324</v>
      </c>
      <c r="D200" s="41">
        <v>0</v>
      </c>
    </row>
    <row r="201" spans="1:4" ht="47.25">
      <c r="A201" s="105" t="s">
        <v>219</v>
      </c>
      <c r="B201" s="31" t="s">
        <v>220</v>
      </c>
      <c r="C201" s="14"/>
      <c r="D201" s="13">
        <f>D202+D205</f>
        <v>62177.73706</v>
      </c>
    </row>
    <row r="202" spans="1:4" ht="78.75">
      <c r="A202" s="50" t="s">
        <v>223</v>
      </c>
      <c r="B202" s="43" t="s">
        <v>222</v>
      </c>
      <c r="C202" s="14"/>
      <c r="D202" s="49">
        <f>D203</f>
        <v>60177.73706</v>
      </c>
    </row>
    <row r="203" spans="1:4" ht="15.75">
      <c r="A203" s="15" t="s">
        <v>106</v>
      </c>
      <c r="B203" s="43" t="s">
        <v>222</v>
      </c>
      <c r="C203" s="14" t="s">
        <v>109</v>
      </c>
      <c r="D203" s="49">
        <f>D204</f>
        <v>60177.73706</v>
      </c>
    </row>
    <row r="204" spans="1:4" ht="31.5">
      <c r="A204" s="15" t="s">
        <v>108</v>
      </c>
      <c r="B204" s="43" t="s">
        <v>222</v>
      </c>
      <c r="C204" s="14" t="s">
        <v>109</v>
      </c>
      <c r="D204" s="49">
        <f>42956.33202+27997.62151-10776.21647</f>
        <v>60177.73706</v>
      </c>
    </row>
    <row r="205" spans="1:4" ht="63">
      <c r="A205" s="50" t="s">
        <v>428</v>
      </c>
      <c r="B205" s="43" t="s">
        <v>225</v>
      </c>
      <c r="C205" s="14"/>
      <c r="D205" s="49">
        <f>D206</f>
        <v>2000</v>
      </c>
    </row>
    <row r="206" spans="1:4" ht="15.75">
      <c r="A206" s="15" t="s">
        <v>106</v>
      </c>
      <c r="B206" s="43" t="s">
        <v>225</v>
      </c>
      <c r="C206" s="14" t="s">
        <v>109</v>
      </c>
      <c r="D206" s="49">
        <f>D207</f>
        <v>2000</v>
      </c>
    </row>
    <row r="207" spans="1:4" ht="31.5">
      <c r="A207" s="15" t="s">
        <v>108</v>
      </c>
      <c r="B207" s="43" t="s">
        <v>225</v>
      </c>
      <c r="C207" s="14" t="s">
        <v>109</v>
      </c>
      <c r="D207" s="49">
        <f>7000-5000</f>
        <v>2000</v>
      </c>
    </row>
    <row r="208" spans="1:4" ht="31.5">
      <c r="A208" s="105" t="s">
        <v>295</v>
      </c>
      <c r="B208" s="31" t="s">
        <v>297</v>
      </c>
      <c r="C208" s="14"/>
      <c r="D208" s="51">
        <f>D209</f>
        <v>60</v>
      </c>
    </row>
    <row r="209" spans="1:4" ht="15.75">
      <c r="A209" s="15" t="s">
        <v>106</v>
      </c>
      <c r="B209" s="43" t="s">
        <v>298</v>
      </c>
      <c r="C209" s="14" t="s">
        <v>107</v>
      </c>
      <c r="D209" s="41">
        <f>D210</f>
        <v>60</v>
      </c>
    </row>
    <row r="210" spans="1:4" ht="31.5">
      <c r="A210" s="15" t="s">
        <v>108</v>
      </c>
      <c r="B210" s="43" t="s">
        <v>298</v>
      </c>
      <c r="C210" s="14" t="s">
        <v>109</v>
      </c>
      <c r="D210" s="41">
        <f>1022-962</f>
        <v>60</v>
      </c>
    </row>
    <row r="211" spans="1:4" ht="60" customHeight="1" hidden="1">
      <c r="A211" s="105" t="s">
        <v>429</v>
      </c>
      <c r="B211" s="31" t="s">
        <v>430</v>
      </c>
      <c r="C211" s="14"/>
      <c r="D211" s="51">
        <f>D212+D215+D218</f>
        <v>6300</v>
      </c>
    </row>
    <row r="212" spans="1:4" ht="30.75" customHeight="1" hidden="1">
      <c r="A212" s="15" t="s">
        <v>240</v>
      </c>
      <c r="B212" s="43" t="s">
        <v>431</v>
      </c>
      <c r="C212" s="14"/>
      <c r="D212" s="41">
        <f>D213</f>
        <v>4500</v>
      </c>
    </row>
    <row r="213" spans="1:4" ht="15" customHeight="1" hidden="1">
      <c r="A213" s="50" t="s">
        <v>106</v>
      </c>
      <c r="B213" s="43" t="s">
        <v>431</v>
      </c>
      <c r="C213" s="14" t="s">
        <v>107</v>
      </c>
      <c r="D213" s="41">
        <f>D214</f>
        <v>4500</v>
      </c>
    </row>
    <row r="214" spans="1:4" ht="15" customHeight="1" hidden="1">
      <c r="A214" s="15" t="s">
        <v>108</v>
      </c>
      <c r="B214" s="43" t="s">
        <v>431</v>
      </c>
      <c r="C214" s="14" t="s">
        <v>109</v>
      </c>
      <c r="D214" s="41">
        <v>4500</v>
      </c>
    </row>
    <row r="215" spans="1:4" ht="15" customHeight="1" hidden="1">
      <c r="A215" s="15" t="s">
        <v>432</v>
      </c>
      <c r="B215" s="43" t="s">
        <v>433</v>
      </c>
      <c r="C215" s="14"/>
      <c r="D215" s="41">
        <f>D216</f>
        <v>0</v>
      </c>
    </row>
    <row r="216" spans="1:4" ht="15" customHeight="1" hidden="1">
      <c r="A216" s="15" t="s">
        <v>110</v>
      </c>
      <c r="B216" s="43" t="s">
        <v>433</v>
      </c>
      <c r="C216" s="16" t="s">
        <v>113</v>
      </c>
      <c r="D216" s="41">
        <f>D217</f>
        <v>0</v>
      </c>
    </row>
    <row r="217" spans="1:4" ht="15" customHeight="1" hidden="1">
      <c r="A217" s="15" t="s">
        <v>112</v>
      </c>
      <c r="B217" s="43" t="s">
        <v>433</v>
      </c>
      <c r="C217" s="16" t="s">
        <v>434</v>
      </c>
      <c r="D217" s="41">
        <v>0</v>
      </c>
    </row>
    <row r="218" spans="1:4" ht="15" customHeight="1" hidden="1">
      <c r="A218" s="15" t="s">
        <v>435</v>
      </c>
      <c r="B218" s="43" t="s">
        <v>436</v>
      </c>
      <c r="C218" s="14"/>
      <c r="D218" s="41">
        <f>D219</f>
        <v>1800</v>
      </c>
    </row>
    <row r="219" spans="1:4" ht="15" customHeight="1" hidden="1">
      <c r="A219" s="50" t="s">
        <v>106</v>
      </c>
      <c r="B219" s="43" t="s">
        <v>436</v>
      </c>
      <c r="C219" s="14" t="s">
        <v>107</v>
      </c>
      <c r="D219" s="41">
        <f>D220</f>
        <v>1800</v>
      </c>
    </row>
    <row r="220" spans="1:4" ht="15" customHeight="1" hidden="1">
      <c r="A220" s="15" t="s">
        <v>108</v>
      </c>
      <c r="B220" s="43" t="s">
        <v>436</v>
      </c>
      <c r="C220" s="14" t="s">
        <v>109</v>
      </c>
      <c r="D220" s="41">
        <v>1800</v>
      </c>
    </row>
    <row r="221" spans="1:4" ht="46.5" customHeight="1" hidden="1">
      <c r="A221" s="56" t="s">
        <v>437</v>
      </c>
      <c r="B221" s="43" t="s">
        <v>438</v>
      </c>
      <c r="C221" s="14"/>
      <c r="D221" s="41"/>
    </row>
    <row r="222" spans="1:4" ht="15" customHeight="1" hidden="1">
      <c r="A222" s="50" t="s">
        <v>106</v>
      </c>
      <c r="B222" s="43" t="s">
        <v>438</v>
      </c>
      <c r="C222" s="14" t="s">
        <v>107</v>
      </c>
      <c r="D222" s="41"/>
    </row>
    <row r="223" spans="1:4" ht="15" customHeight="1" hidden="1">
      <c r="A223" s="50" t="s">
        <v>108</v>
      </c>
      <c r="B223" s="43" t="s">
        <v>438</v>
      </c>
      <c r="C223" s="14" t="s">
        <v>109</v>
      </c>
      <c r="D223" s="41"/>
    </row>
    <row r="224" spans="1:4" ht="31.5">
      <c r="A224" s="105" t="s">
        <v>383</v>
      </c>
      <c r="B224" s="31" t="s">
        <v>146</v>
      </c>
      <c r="C224" s="14"/>
      <c r="D224" s="51">
        <f>D225+D228</f>
        <v>150</v>
      </c>
    </row>
    <row r="225" spans="1:4" ht="31.5">
      <c r="A225" s="15" t="s">
        <v>439</v>
      </c>
      <c r="B225" s="43" t="s">
        <v>246</v>
      </c>
      <c r="C225" s="14"/>
      <c r="D225" s="41">
        <f>D226</f>
        <v>130</v>
      </c>
    </row>
    <row r="226" spans="1:4" ht="15.75">
      <c r="A226" s="50" t="s">
        <v>106</v>
      </c>
      <c r="B226" s="43" t="s">
        <v>246</v>
      </c>
      <c r="C226" s="14" t="s">
        <v>107</v>
      </c>
      <c r="D226" s="41">
        <f>D227</f>
        <v>130</v>
      </c>
    </row>
    <row r="227" spans="1:5" s="22" customFormat="1" ht="31.5">
      <c r="A227" s="50" t="s">
        <v>108</v>
      </c>
      <c r="B227" s="43" t="s">
        <v>246</v>
      </c>
      <c r="C227" s="14" t="s">
        <v>109</v>
      </c>
      <c r="D227" s="41">
        <f>150-20</f>
        <v>130</v>
      </c>
      <c r="E227" s="191"/>
    </row>
    <row r="228" spans="1:5" s="22" customFormat="1" ht="15.75">
      <c r="A228" s="15" t="s">
        <v>147</v>
      </c>
      <c r="B228" s="43" t="s">
        <v>148</v>
      </c>
      <c r="C228" s="14"/>
      <c r="D228" s="41">
        <f>D229</f>
        <v>20</v>
      </c>
      <c r="E228" s="191"/>
    </row>
    <row r="229" spans="1:5" s="22" customFormat="1" ht="15.75">
      <c r="A229" s="50" t="s">
        <v>106</v>
      </c>
      <c r="B229" s="43" t="s">
        <v>148</v>
      </c>
      <c r="C229" s="14" t="s">
        <v>107</v>
      </c>
      <c r="D229" s="41">
        <f>D230</f>
        <v>20</v>
      </c>
      <c r="E229" s="191"/>
    </row>
    <row r="230" spans="1:5" s="22" customFormat="1" ht="31.5">
      <c r="A230" s="50" t="s">
        <v>108</v>
      </c>
      <c r="B230" s="43" t="s">
        <v>148</v>
      </c>
      <c r="C230" s="14" t="s">
        <v>109</v>
      </c>
      <c r="D230" s="41">
        <v>20</v>
      </c>
      <c r="E230" s="191"/>
    </row>
    <row r="231" spans="1:5" s="22" customFormat="1" ht="47.25">
      <c r="A231" s="105" t="s">
        <v>141</v>
      </c>
      <c r="B231" s="31" t="s">
        <v>212</v>
      </c>
      <c r="C231" s="14"/>
      <c r="D231" s="13">
        <f>D232+D237</f>
        <v>10193.8</v>
      </c>
      <c r="E231" s="191"/>
    </row>
    <row r="232" spans="1:4" ht="63">
      <c r="A232" s="110" t="s">
        <v>143</v>
      </c>
      <c r="B232" s="43" t="s">
        <v>440</v>
      </c>
      <c r="C232" s="111"/>
      <c r="D232" s="112">
        <f>D233+D235</f>
        <v>9993.8</v>
      </c>
    </row>
    <row r="233" spans="1:4" ht="15.75">
      <c r="A233" s="15" t="s">
        <v>106</v>
      </c>
      <c r="B233" s="43" t="s">
        <v>440</v>
      </c>
      <c r="C233" s="14" t="s">
        <v>107</v>
      </c>
      <c r="D233" s="41">
        <f>D234</f>
        <v>4630</v>
      </c>
    </row>
    <row r="234" spans="1:4" ht="31.5">
      <c r="A234" s="15" t="s">
        <v>108</v>
      </c>
      <c r="B234" s="43" t="s">
        <v>440</v>
      </c>
      <c r="C234" s="14" t="s">
        <v>109</v>
      </c>
      <c r="D234" s="49">
        <f>3450+700+2000-2020+500</f>
        <v>4630</v>
      </c>
    </row>
    <row r="235" spans="1:4" ht="15.75">
      <c r="A235" s="39" t="s">
        <v>110</v>
      </c>
      <c r="B235" s="43" t="s">
        <v>440</v>
      </c>
      <c r="C235" s="14" t="s">
        <v>111</v>
      </c>
      <c r="D235" s="49">
        <f>D236</f>
        <v>5363.8</v>
      </c>
    </row>
    <row r="236" spans="1:4" ht="15.75">
      <c r="A236" s="39" t="s">
        <v>112</v>
      </c>
      <c r="B236" s="43" t="s">
        <v>440</v>
      </c>
      <c r="C236" s="14" t="s">
        <v>113</v>
      </c>
      <c r="D236" s="49">
        <f>2020+10000-3000-1676.2-300-380-300-1000</f>
        <v>5363.8</v>
      </c>
    </row>
    <row r="237" spans="1:4" ht="15.75">
      <c r="A237" s="39" t="s">
        <v>213</v>
      </c>
      <c r="B237" s="43" t="s">
        <v>214</v>
      </c>
      <c r="C237" s="14"/>
      <c r="D237" s="41">
        <f>D238</f>
        <v>200</v>
      </c>
    </row>
    <row r="238" spans="1:4" ht="15.75">
      <c r="A238" s="15" t="s">
        <v>106</v>
      </c>
      <c r="B238" s="43" t="s">
        <v>214</v>
      </c>
      <c r="C238" s="14" t="s">
        <v>107</v>
      </c>
      <c r="D238" s="41">
        <f>D239</f>
        <v>200</v>
      </c>
    </row>
    <row r="239" spans="1:4" ht="31.5">
      <c r="A239" s="113" t="s">
        <v>108</v>
      </c>
      <c r="B239" s="43" t="s">
        <v>214</v>
      </c>
      <c r="C239" s="114" t="s">
        <v>109</v>
      </c>
      <c r="D239" s="115">
        <v>200</v>
      </c>
    </row>
    <row r="240" spans="1:4" ht="15.75">
      <c r="A240" s="116" t="s">
        <v>441</v>
      </c>
      <c r="B240" s="117"/>
      <c r="C240" s="118"/>
      <c r="D240" s="119">
        <f>D231+D224+D208+D201+D197+D114+D71+D59+D46+D34+D18</f>
        <v>455695.98059999995</v>
      </c>
    </row>
    <row r="241" spans="1:4" ht="47.25">
      <c r="A241" s="120" t="s">
        <v>88</v>
      </c>
      <c r="B241" s="36" t="s">
        <v>442</v>
      </c>
      <c r="C241" s="14"/>
      <c r="D241" s="13">
        <f>D246+D249+D252+D255+D258+D265+D242</f>
        <v>34471</v>
      </c>
    </row>
    <row r="242" spans="1:4" ht="15.75">
      <c r="A242" s="30" t="s">
        <v>122</v>
      </c>
      <c r="B242" s="40" t="s">
        <v>124</v>
      </c>
      <c r="C242" s="14"/>
      <c r="D242" s="41">
        <f>D243</f>
        <v>712</v>
      </c>
    </row>
    <row r="243" spans="1:4" ht="15.75">
      <c r="A243" s="39" t="s">
        <v>125</v>
      </c>
      <c r="B243" s="40" t="s">
        <v>124</v>
      </c>
      <c r="C243" s="14"/>
      <c r="D243" s="41">
        <f>D244</f>
        <v>712</v>
      </c>
    </row>
    <row r="244" spans="1:4" ht="15.75">
      <c r="A244" s="39" t="s">
        <v>110</v>
      </c>
      <c r="B244" s="40" t="s">
        <v>124</v>
      </c>
      <c r="C244" s="14" t="s">
        <v>111</v>
      </c>
      <c r="D244" s="41">
        <f>D245</f>
        <v>712</v>
      </c>
    </row>
    <row r="245" spans="1:4" ht="15.75">
      <c r="A245" s="39" t="s">
        <v>126</v>
      </c>
      <c r="B245" s="40" t="s">
        <v>124</v>
      </c>
      <c r="C245" s="14" t="s">
        <v>127</v>
      </c>
      <c r="D245" s="41">
        <v>712</v>
      </c>
    </row>
    <row r="246" spans="1:4" ht="15.75">
      <c r="A246" s="39" t="s">
        <v>90</v>
      </c>
      <c r="B246" s="40" t="s">
        <v>91</v>
      </c>
      <c r="C246" s="1"/>
      <c r="D246" s="41">
        <f>D247</f>
        <v>1801</v>
      </c>
    </row>
    <row r="247" spans="1:4" ht="63">
      <c r="A247" s="39" t="s">
        <v>92</v>
      </c>
      <c r="B247" s="40" t="s">
        <v>91</v>
      </c>
      <c r="C247" s="1" t="s">
        <v>93</v>
      </c>
      <c r="D247" s="41">
        <f>D248</f>
        <v>1801</v>
      </c>
    </row>
    <row r="248" spans="1:4" ht="15.75">
      <c r="A248" s="39" t="s">
        <v>94</v>
      </c>
      <c r="B248" s="40" t="s">
        <v>91</v>
      </c>
      <c r="C248" s="1" t="s">
        <v>95</v>
      </c>
      <c r="D248" s="41">
        <f>1364+437</f>
        <v>1801</v>
      </c>
    </row>
    <row r="249" spans="1:4" ht="15.75">
      <c r="A249" s="42" t="s">
        <v>120</v>
      </c>
      <c r="B249" s="40" t="s">
        <v>121</v>
      </c>
      <c r="C249" s="114"/>
      <c r="D249" s="121">
        <f>D250</f>
        <v>1506</v>
      </c>
    </row>
    <row r="250" spans="1:4" ht="63">
      <c r="A250" s="39" t="s">
        <v>92</v>
      </c>
      <c r="B250" s="40" t="s">
        <v>121</v>
      </c>
      <c r="C250" s="14" t="s">
        <v>93</v>
      </c>
      <c r="D250" s="41">
        <f>D251</f>
        <v>1506</v>
      </c>
    </row>
    <row r="251" spans="1:4" ht="15.75">
      <c r="A251" s="39" t="s">
        <v>94</v>
      </c>
      <c r="B251" s="40" t="s">
        <v>121</v>
      </c>
      <c r="C251" s="14" t="s">
        <v>95</v>
      </c>
      <c r="D251" s="41">
        <f>1264+242</f>
        <v>1506</v>
      </c>
    </row>
    <row r="252" spans="1:4" ht="15.75">
      <c r="A252" s="39" t="s">
        <v>116</v>
      </c>
      <c r="B252" s="43" t="s">
        <v>117</v>
      </c>
      <c r="C252" s="114"/>
      <c r="D252" s="115">
        <f>D253</f>
        <v>8178.2</v>
      </c>
    </row>
    <row r="253" spans="1:4" ht="63">
      <c r="A253" s="39" t="s">
        <v>92</v>
      </c>
      <c r="B253" s="43" t="s">
        <v>117</v>
      </c>
      <c r="C253" s="14" t="s">
        <v>93</v>
      </c>
      <c r="D253" s="115">
        <f>D254</f>
        <v>8178.2</v>
      </c>
    </row>
    <row r="254" spans="1:4" ht="15.75">
      <c r="A254" s="39" t="s">
        <v>94</v>
      </c>
      <c r="B254" s="43" t="s">
        <v>117</v>
      </c>
      <c r="C254" s="14" t="s">
        <v>95</v>
      </c>
      <c r="D254" s="115">
        <f>6191.2+226+1761</f>
        <v>8178.2</v>
      </c>
    </row>
    <row r="255" spans="1:4" ht="15.75">
      <c r="A255" s="39" t="s">
        <v>102</v>
      </c>
      <c r="B255" s="43" t="s">
        <v>443</v>
      </c>
      <c r="C255" s="14"/>
      <c r="D255" s="41">
        <f>D256</f>
        <v>12307.8</v>
      </c>
    </row>
    <row r="256" spans="1:4" ht="63">
      <c r="A256" s="39" t="s">
        <v>92</v>
      </c>
      <c r="B256" s="43" t="s">
        <v>443</v>
      </c>
      <c r="C256" s="14" t="s">
        <v>93</v>
      </c>
      <c r="D256" s="41">
        <f>D257</f>
        <v>12307.8</v>
      </c>
    </row>
    <row r="257" spans="1:4" ht="15.75">
      <c r="A257" s="39" t="s">
        <v>94</v>
      </c>
      <c r="B257" s="43" t="s">
        <v>443</v>
      </c>
      <c r="C257" s="14" t="s">
        <v>95</v>
      </c>
      <c r="D257" s="41">
        <f>5667.8+750+2000+271+340+230+3049</f>
        <v>12307.8</v>
      </c>
    </row>
    <row r="258" spans="1:4" ht="15.75">
      <c r="A258" s="39" t="s">
        <v>104</v>
      </c>
      <c r="B258" s="43" t="s">
        <v>105</v>
      </c>
      <c r="C258" s="14"/>
      <c r="D258" s="41">
        <f>D259+D261+D263</f>
        <v>8095</v>
      </c>
    </row>
    <row r="259" spans="1:4" ht="63">
      <c r="A259" s="39" t="s">
        <v>92</v>
      </c>
      <c r="B259" s="43" t="s">
        <v>105</v>
      </c>
      <c r="C259" s="14" t="s">
        <v>93</v>
      </c>
      <c r="D259" s="41">
        <f>D260</f>
        <v>22</v>
      </c>
    </row>
    <row r="260" spans="1:4" ht="15.75">
      <c r="A260" s="39" t="s">
        <v>94</v>
      </c>
      <c r="B260" s="43" t="s">
        <v>105</v>
      </c>
      <c r="C260" s="14" t="s">
        <v>95</v>
      </c>
      <c r="D260" s="41">
        <v>22</v>
      </c>
    </row>
    <row r="261" spans="1:4" ht="15.75">
      <c r="A261" s="39" t="s">
        <v>106</v>
      </c>
      <c r="B261" s="43" t="s">
        <v>105</v>
      </c>
      <c r="C261" s="14" t="s">
        <v>107</v>
      </c>
      <c r="D261" s="41">
        <f>D262</f>
        <v>7962</v>
      </c>
    </row>
    <row r="262" spans="1:4" ht="31.5">
      <c r="A262" s="39" t="s">
        <v>108</v>
      </c>
      <c r="B262" s="43" t="s">
        <v>105</v>
      </c>
      <c r="C262" s="14" t="s">
        <v>109</v>
      </c>
      <c r="D262" s="41">
        <f>275+4192+1995+1500</f>
        <v>7962</v>
      </c>
    </row>
    <row r="263" spans="1:4" ht="15.75">
      <c r="A263" s="39" t="s">
        <v>110</v>
      </c>
      <c r="B263" s="43" t="s">
        <v>105</v>
      </c>
      <c r="C263" s="14" t="s">
        <v>111</v>
      </c>
      <c r="D263" s="41">
        <f>D264</f>
        <v>111</v>
      </c>
    </row>
    <row r="264" spans="1:4" ht="15.75">
      <c r="A264" s="39" t="s">
        <v>112</v>
      </c>
      <c r="B264" s="43" t="s">
        <v>105</v>
      </c>
      <c r="C264" s="14" t="s">
        <v>113</v>
      </c>
      <c r="D264" s="41">
        <f>15+95+1</f>
        <v>111</v>
      </c>
    </row>
    <row r="265" spans="1:4" ht="31.5">
      <c r="A265" s="42" t="s">
        <v>98</v>
      </c>
      <c r="B265" s="40" t="s">
        <v>444</v>
      </c>
      <c r="C265" s="106"/>
      <c r="D265" s="17">
        <f>D266</f>
        <v>1871</v>
      </c>
    </row>
    <row r="266" spans="1:4" ht="63">
      <c r="A266" s="39" t="s">
        <v>92</v>
      </c>
      <c r="B266" s="40" t="s">
        <v>99</v>
      </c>
      <c r="C266" s="1" t="s">
        <v>93</v>
      </c>
      <c r="D266" s="17">
        <f>D267</f>
        <v>1871</v>
      </c>
    </row>
    <row r="267" spans="1:4" ht="15.75">
      <c r="A267" s="39" t="s">
        <v>94</v>
      </c>
      <c r="B267" s="40" t="s">
        <v>99</v>
      </c>
      <c r="C267" s="1" t="s">
        <v>95</v>
      </c>
      <c r="D267" s="17">
        <f>1340+761-230</f>
        <v>1871</v>
      </c>
    </row>
    <row r="268" spans="1:4" ht="15.75">
      <c r="A268" s="122" t="s">
        <v>149</v>
      </c>
      <c r="B268" s="31" t="s">
        <v>317</v>
      </c>
      <c r="C268" s="123"/>
      <c r="D268" s="124">
        <f>D269+D272+D283+D289+D293+D279+D287</f>
        <v>22931.17226</v>
      </c>
    </row>
    <row r="269" spans="1:4" ht="31.5">
      <c r="A269" s="42" t="s">
        <v>319</v>
      </c>
      <c r="B269" s="43" t="s">
        <v>320</v>
      </c>
      <c r="C269" s="1"/>
      <c r="D269" s="17">
        <f>D271</f>
        <v>850.01</v>
      </c>
    </row>
    <row r="270" spans="1:4" ht="15.75">
      <c r="A270" s="42" t="s">
        <v>321</v>
      </c>
      <c r="B270" s="43" t="s">
        <v>320</v>
      </c>
      <c r="C270" s="14" t="s">
        <v>322</v>
      </c>
      <c r="D270" s="17">
        <f>D271</f>
        <v>850.01</v>
      </c>
    </row>
    <row r="271" spans="1:4" ht="15.75">
      <c r="A271" s="42" t="s">
        <v>323</v>
      </c>
      <c r="B271" s="43" t="s">
        <v>320</v>
      </c>
      <c r="C271" s="14" t="s">
        <v>324</v>
      </c>
      <c r="D271" s="17">
        <f>710+70+70.01</f>
        <v>850.01</v>
      </c>
    </row>
    <row r="272" spans="1:4" ht="47.25">
      <c r="A272" s="42" t="s">
        <v>445</v>
      </c>
      <c r="B272" s="43" t="s">
        <v>317</v>
      </c>
      <c r="C272" s="1"/>
      <c r="D272" s="17">
        <f>D273+D275+D277</f>
        <v>12409</v>
      </c>
    </row>
    <row r="273" spans="1:4" ht="63">
      <c r="A273" s="39" t="s">
        <v>92</v>
      </c>
      <c r="B273" s="40" t="s">
        <v>152</v>
      </c>
      <c r="C273" s="1" t="s">
        <v>93</v>
      </c>
      <c r="D273" s="41">
        <f>D274</f>
        <v>11293</v>
      </c>
    </row>
    <row r="274" spans="1:4" ht="15.75">
      <c r="A274" s="39" t="s">
        <v>153</v>
      </c>
      <c r="B274" s="40" t="s">
        <v>152</v>
      </c>
      <c r="C274" s="1" t="s">
        <v>154</v>
      </c>
      <c r="D274" s="41">
        <f>9260+2033</f>
        <v>11293</v>
      </c>
    </row>
    <row r="275" spans="1:4" ht="15.75">
      <c r="A275" s="50" t="s">
        <v>106</v>
      </c>
      <c r="B275" s="40" t="s">
        <v>152</v>
      </c>
      <c r="C275" s="14" t="s">
        <v>107</v>
      </c>
      <c r="D275" s="41">
        <f>D276</f>
        <v>1113</v>
      </c>
    </row>
    <row r="276" spans="1:4" ht="31.5">
      <c r="A276" s="50" t="s">
        <v>108</v>
      </c>
      <c r="B276" s="40" t="s">
        <v>152</v>
      </c>
      <c r="C276" s="14" t="s">
        <v>109</v>
      </c>
      <c r="D276" s="41">
        <f>435+300+154+65.7+5+70.3-1.5+86-7.5+6</f>
        <v>1113</v>
      </c>
    </row>
    <row r="277" spans="1:4" ht="15.75">
      <c r="A277" s="39" t="s">
        <v>110</v>
      </c>
      <c r="B277" s="40" t="s">
        <v>152</v>
      </c>
      <c r="C277" s="14" t="s">
        <v>111</v>
      </c>
      <c r="D277" s="17">
        <f>D278</f>
        <v>3</v>
      </c>
    </row>
    <row r="278" spans="1:4" ht="15.75">
      <c r="A278" s="39" t="s">
        <v>112</v>
      </c>
      <c r="B278" s="40" t="s">
        <v>152</v>
      </c>
      <c r="C278" s="14" t="s">
        <v>113</v>
      </c>
      <c r="D278" s="17">
        <v>3</v>
      </c>
    </row>
    <row r="279" spans="1:4" ht="15.75" hidden="1">
      <c r="A279" s="90" t="s">
        <v>350</v>
      </c>
      <c r="B279" s="40" t="s">
        <v>352</v>
      </c>
      <c r="C279" s="14"/>
      <c r="D279" s="17">
        <f>D280</f>
        <v>2240</v>
      </c>
    </row>
    <row r="280" spans="1:4" ht="15.75" hidden="1">
      <c r="A280" s="76" t="s">
        <v>353</v>
      </c>
      <c r="B280" s="40" t="s">
        <v>352</v>
      </c>
      <c r="C280" s="14"/>
      <c r="D280" s="17">
        <f>D281</f>
        <v>2240</v>
      </c>
    </row>
    <row r="281" spans="1:4" ht="15.75">
      <c r="A281" s="76" t="s">
        <v>354</v>
      </c>
      <c r="B281" s="40" t="s">
        <v>352</v>
      </c>
      <c r="C281" s="14" t="s">
        <v>355</v>
      </c>
      <c r="D281" s="17">
        <f>D282</f>
        <v>2240</v>
      </c>
    </row>
    <row r="282" spans="1:4" ht="15.75">
      <c r="A282" s="79" t="s">
        <v>356</v>
      </c>
      <c r="B282" s="40" t="s">
        <v>352</v>
      </c>
      <c r="C282" s="14" t="s">
        <v>357</v>
      </c>
      <c r="D282" s="17">
        <f>990+800+450</f>
        <v>2240</v>
      </c>
    </row>
    <row r="283" spans="1:4" ht="15.75">
      <c r="A283" s="46" t="s">
        <v>128</v>
      </c>
      <c r="B283" s="43" t="s">
        <v>446</v>
      </c>
      <c r="C283" s="14"/>
      <c r="D283" s="41">
        <f>D284</f>
        <v>4776.162259999999</v>
      </c>
    </row>
    <row r="284" spans="1:4" ht="15.75">
      <c r="A284" s="42" t="s">
        <v>132</v>
      </c>
      <c r="B284" s="43" t="s">
        <v>446</v>
      </c>
      <c r="C284" s="14"/>
      <c r="D284" s="41">
        <f>D285</f>
        <v>4776.162259999999</v>
      </c>
    </row>
    <row r="285" spans="1:4" ht="15.75">
      <c r="A285" s="39" t="s">
        <v>110</v>
      </c>
      <c r="B285" s="43" t="s">
        <v>446</v>
      </c>
      <c r="C285" s="14" t="s">
        <v>111</v>
      </c>
      <c r="D285" s="41">
        <f>D286</f>
        <v>4776.162259999999</v>
      </c>
    </row>
    <row r="286" spans="1:4" ht="15.75">
      <c r="A286" s="42" t="s">
        <v>133</v>
      </c>
      <c r="B286" s="43" t="s">
        <v>446</v>
      </c>
      <c r="C286" s="14" t="s">
        <v>134</v>
      </c>
      <c r="D286" s="41">
        <f>1000-450.13025+9000-42.08385-776.9306-3954.69304</f>
        <v>4776.162259999999</v>
      </c>
    </row>
    <row r="287" spans="1:4" ht="63">
      <c r="A287" s="39" t="s">
        <v>92</v>
      </c>
      <c r="B287" s="43" t="s">
        <v>117</v>
      </c>
      <c r="C287" s="43" t="s">
        <v>93</v>
      </c>
      <c r="D287" s="41">
        <f>D288</f>
        <v>230</v>
      </c>
    </row>
    <row r="288" spans="1:4" ht="15.75">
      <c r="A288" s="39" t="s">
        <v>94</v>
      </c>
      <c r="B288" s="43" t="s">
        <v>117</v>
      </c>
      <c r="C288" s="43" t="s">
        <v>95</v>
      </c>
      <c r="D288" s="41">
        <v>230</v>
      </c>
    </row>
    <row r="289" spans="1:4" ht="31.5">
      <c r="A289" s="18" t="s">
        <v>347</v>
      </c>
      <c r="B289" s="43" t="s">
        <v>348</v>
      </c>
      <c r="C289" s="1"/>
      <c r="D289" s="41">
        <f>D290</f>
        <v>1478</v>
      </c>
    </row>
    <row r="290" spans="1:4" ht="31.5">
      <c r="A290" s="18" t="s">
        <v>349</v>
      </c>
      <c r="B290" s="43" t="s">
        <v>348</v>
      </c>
      <c r="C290" s="1"/>
      <c r="D290" s="41">
        <f>D291</f>
        <v>1478</v>
      </c>
    </row>
    <row r="291" spans="1:4" ht="15.75">
      <c r="A291" s="15" t="s">
        <v>106</v>
      </c>
      <c r="B291" s="43" t="s">
        <v>348</v>
      </c>
      <c r="C291" s="1" t="s">
        <v>107</v>
      </c>
      <c r="D291" s="41">
        <f>D292</f>
        <v>1478</v>
      </c>
    </row>
    <row r="292" spans="1:4" ht="31.5">
      <c r="A292" s="15" t="s">
        <v>108</v>
      </c>
      <c r="B292" s="43" t="s">
        <v>348</v>
      </c>
      <c r="C292" s="1" t="s">
        <v>109</v>
      </c>
      <c r="D292" s="41">
        <f>1000+380+98</f>
        <v>1478</v>
      </c>
    </row>
    <row r="293" spans="1:4" ht="31.5">
      <c r="A293" s="52" t="s">
        <v>160</v>
      </c>
      <c r="B293" s="43" t="s">
        <v>159</v>
      </c>
      <c r="C293" s="14"/>
      <c r="D293" s="41">
        <f>D294+D296</f>
        <v>948</v>
      </c>
    </row>
    <row r="294" spans="1:4" ht="63">
      <c r="A294" s="39" t="s">
        <v>92</v>
      </c>
      <c r="B294" s="43" t="s">
        <v>159</v>
      </c>
      <c r="C294" s="14" t="s">
        <v>93</v>
      </c>
      <c r="D294" s="41">
        <f>D295</f>
        <v>853.7</v>
      </c>
    </row>
    <row r="295" spans="1:4" ht="15.75">
      <c r="A295" s="39" t="s">
        <v>94</v>
      </c>
      <c r="B295" s="43" t="s">
        <v>159</v>
      </c>
      <c r="C295" s="14" t="s">
        <v>95</v>
      </c>
      <c r="D295" s="41">
        <f>705.7+62+9+77</f>
        <v>853.7</v>
      </c>
    </row>
    <row r="296" spans="1:4" ht="15.75">
      <c r="A296" s="50" t="s">
        <v>106</v>
      </c>
      <c r="B296" s="43" t="s">
        <v>159</v>
      </c>
      <c r="C296" s="14" t="s">
        <v>107</v>
      </c>
      <c r="D296" s="125">
        <f>D297</f>
        <v>94.3</v>
      </c>
    </row>
    <row r="297" spans="1:4" ht="31.5">
      <c r="A297" s="50" t="s">
        <v>108</v>
      </c>
      <c r="B297" s="43" t="s">
        <v>159</v>
      </c>
      <c r="C297" s="14" t="s">
        <v>109</v>
      </c>
      <c r="D297" s="41">
        <v>94.3</v>
      </c>
    </row>
    <row r="298" spans="1:4" ht="15.75">
      <c r="A298" s="126" t="s">
        <v>358</v>
      </c>
      <c r="B298" s="127"/>
      <c r="C298" s="106"/>
      <c r="D298" s="238">
        <f>D268+D241+D240</f>
        <v>513098.15286</v>
      </c>
    </row>
  </sheetData>
  <sheetProtection selectLockedCells="1" selectUnlockedCells="1"/>
  <mergeCells count="1">
    <mergeCell ref="A14:D14"/>
  </mergeCells>
  <printOptions horizontalCentered="1"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&amp;L197/мз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19">
      <selection activeCell="G8" sqref="G8"/>
    </sheetView>
  </sheetViews>
  <sheetFormatPr defaultColWidth="19.625" defaultRowHeight="12.75"/>
  <cols>
    <col min="1" max="1" width="9.625" style="128" customWidth="1"/>
    <col min="2" max="2" width="25.875" style="129" customWidth="1"/>
    <col min="3" max="3" width="57.625" style="130" customWidth="1"/>
    <col min="4" max="4" width="16.00390625" style="130" customWidth="1"/>
    <col min="5" max="5" width="12.125" style="131" customWidth="1"/>
    <col min="6" max="7" width="9.625" style="9" customWidth="1"/>
    <col min="8" max="17" width="9.625" style="132" customWidth="1"/>
    <col min="18" max="16384" width="19.625" style="132" customWidth="1"/>
  </cols>
  <sheetData>
    <row r="1" spans="3:4" ht="15.75">
      <c r="C1" s="26" t="s">
        <v>733</v>
      </c>
      <c r="D1" s="23"/>
    </row>
    <row r="2" spans="3:4" ht="15.75">
      <c r="C2" s="26" t="s">
        <v>591</v>
      </c>
      <c r="D2" s="23"/>
    </row>
    <row r="3" spans="3:4" ht="15.75">
      <c r="C3" s="26" t="s">
        <v>592</v>
      </c>
      <c r="D3" s="23"/>
    </row>
    <row r="4" spans="3:4" ht="15.75">
      <c r="C4" s="26" t="s">
        <v>593</v>
      </c>
      <c r="D4" s="23"/>
    </row>
    <row r="5" spans="3:4" ht="15.75">
      <c r="C5" s="26" t="s">
        <v>735</v>
      </c>
      <c r="D5" s="23"/>
    </row>
    <row r="6" spans="3:4" ht="15.75">
      <c r="C6" s="26"/>
      <c r="D6" s="96"/>
    </row>
    <row r="7" spans="3:4" ht="15.75">
      <c r="C7" s="9" t="s">
        <v>594</v>
      </c>
      <c r="D7" s="96"/>
    </row>
    <row r="8" spans="3:4" ht="15.75">
      <c r="C8" s="9" t="s">
        <v>595</v>
      </c>
      <c r="D8" s="96"/>
    </row>
    <row r="9" spans="3:4" ht="15.75">
      <c r="C9" s="9" t="s">
        <v>596</v>
      </c>
      <c r="D9" s="96"/>
    </row>
    <row r="10" spans="3:4" ht="15.75">
      <c r="C10" s="9" t="s">
        <v>597</v>
      </c>
      <c r="D10" s="96"/>
    </row>
    <row r="11" spans="3:4" ht="15.75">
      <c r="C11" s="9" t="s">
        <v>598</v>
      </c>
      <c r="D11" s="96"/>
    </row>
    <row r="12" spans="3:7" ht="15.75">
      <c r="C12" s="26" t="s">
        <v>599</v>
      </c>
      <c r="D12" s="96"/>
      <c r="F12" s="132"/>
      <c r="G12" s="132"/>
    </row>
    <row r="13" spans="1:7" ht="15.75">
      <c r="A13" s="247" t="s">
        <v>447</v>
      </c>
      <c r="B13" s="247"/>
      <c r="C13" s="247"/>
      <c r="D13" s="247"/>
      <c r="E13" s="247"/>
      <c r="F13" s="132"/>
      <c r="G13" s="132"/>
    </row>
    <row r="14" spans="1:5" s="137" customFormat="1" ht="36">
      <c r="A14" s="133" t="s">
        <v>448</v>
      </c>
      <c r="B14" s="134"/>
      <c r="C14" s="135" t="s">
        <v>449</v>
      </c>
      <c r="D14" s="135" t="s">
        <v>450</v>
      </c>
      <c r="E14" s="136" t="s">
        <v>451</v>
      </c>
    </row>
    <row r="15" spans="1:6" s="140" customFormat="1" ht="15.75">
      <c r="A15" s="248" t="s">
        <v>139</v>
      </c>
      <c r="B15" s="248"/>
      <c r="C15" s="248"/>
      <c r="D15" s="138" t="s">
        <v>452</v>
      </c>
      <c r="E15" s="139">
        <f>E16</f>
        <v>9993.8</v>
      </c>
      <c r="F15" s="189"/>
    </row>
    <row r="16" spans="1:5" s="140" customFormat="1" ht="15.75">
      <c r="A16" s="249" t="s">
        <v>453</v>
      </c>
      <c r="B16" s="249"/>
      <c r="C16" s="249"/>
      <c r="D16" s="138"/>
      <c r="E16" s="139">
        <f>SUM(E17:E20)</f>
        <v>9993.8</v>
      </c>
    </row>
    <row r="17" spans="1:5" s="140" customFormat="1" ht="78.75">
      <c r="A17" s="250" t="s">
        <v>454</v>
      </c>
      <c r="B17" s="6" t="s">
        <v>455</v>
      </c>
      <c r="C17" s="15" t="s">
        <v>143</v>
      </c>
      <c r="D17" s="138"/>
      <c r="E17" s="141">
        <f>6150-2020-325</f>
        <v>3805</v>
      </c>
    </row>
    <row r="18" spans="1:5" s="140" customFormat="1" ht="31.5">
      <c r="A18" s="250"/>
      <c r="B18" s="6" t="s">
        <v>456</v>
      </c>
      <c r="C18" s="142" t="s">
        <v>457</v>
      </c>
      <c r="D18" s="138"/>
      <c r="E18" s="141">
        <f>2020+10000-3000-1676.2-300-300-380-1000</f>
        <v>5363.8</v>
      </c>
    </row>
    <row r="19" spans="1:5" s="140" customFormat="1" ht="31.5">
      <c r="A19" s="2" t="s">
        <v>458</v>
      </c>
      <c r="B19" s="6" t="s">
        <v>455</v>
      </c>
      <c r="C19" s="15" t="s">
        <v>459</v>
      </c>
      <c r="D19" s="138"/>
      <c r="E19" s="141">
        <v>325</v>
      </c>
    </row>
    <row r="20" spans="1:5" s="140" customFormat="1" ht="31.5">
      <c r="A20" s="2" t="s">
        <v>562</v>
      </c>
      <c r="B20" s="6" t="s">
        <v>455</v>
      </c>
      <c r="C20" s="15" t="s">
        <v>563</v>
      </c>
      <c r="D20" s="138" t="s">
        <v>564</v>
      </c>
      <c r="E20" s="141">
        <v>500</v>
      </c>
    </row>
    <row r="21" spans="1:7" ht="15.75">
      <c r="A21" s="249" t="s">
        <v>460</v>
      </c>
      <c r="B21" s="249"/>
      <c r="C21" s="249"/>
      <c r="D21" s="143" t="s">
        <v>461</v>
      </c>
      <c r="E21" s="139">
        <f>E22+E40+E42</f>
        <v>98555.27059999999</v>
      </c>
      <c r="F21" s="144"/>
      <c r="G21" s="132"/>
    </row>
    <row r="22" spans="1:7" ht="15.75">
      <c r="A22" s="251" t="s">
        <v>462</v>
      </c>
      <c r="B22" s="251"/>
      <c r="C22" s="251"/>
      <c r="D22" s="143" t="s">
        <v>196</v>
      </c>
      <c r="E22" s="145">
        <f>E23+E37</f>
        <v>98094.27059999999</v>
      </c>
      <c r="F22" s="132"/>
      <c r="G22" s="132"/>
    </row>
    <row r="23" spans="1:7" ht="15.75">
      <c r="A23" s="252" t="s">
        <v>463</v>
      </c>
      <c r="B23" s="252"/>
      <c r="C23" s="252"/>
      <c r="D23" s="143"/>
      <c r="E23" s="145">
        <f>SUM(E25:E36)</f>
        <v>86096.30999999998</v>
      </c>
      <c r="F23" s="132"/>
      <c r="G23" s="132"/>
    </row>
    <row r="24" spans="1:7" ht="15.75">
      <c r="A24" s="146"/>
      <c r="B24" s="5"/>
      <c r="C24" s="5" t="s">
        <v>464</v>
      </c>
      <c r="D24" s="143"/>
      <c r="E24" s="145">
        <f>SUM(E25:E28)</f>
        <v>28534.78</v>
      </c>
      <c r="F24" s="132"/>
      <c r="G24" s="132"/>
    </row>
    <row r="25" spans="1:7" ht="15.75">
      <c r="A25" s="2" t="s">
        <v>465</v>
      </c>
      <c r="B25" s="253" t="s">
        <v>466</v>
      </c>
      <c r="C25" s="138" t="s">
        <v>467</v>
      </c>
      <c r="D25" s="254" t="s">
        <v>468</v>
      </c>
      <c r="E25" s="141">
        <f>16209.1+1816-78.8-100</f>
        <v>17846.3</v>
      </c>
      <c r="F25" s="132"/>
      <c r="G25" s="132"/>
    </row>
    <row r="26" spans="1:7" ht="15.75">
      <c r="A26" s="2" t="s">
        <v>469</v>
      </c>
      <c r="B26" s="253"/>
      <c r="C26" s="138" t="s">
        <v>470</v>
      </c>
      <c r="D26" s="254"/>
      <c r="E26" s="141">
        <f>831.8+75.97</f>
        <v>907.77</v>
      </c>
      <c r="F26" s="132"/>
      <c r="G26" s="132"/>
    </row>
    <row r="27" spans="1:7" ht="15.75">
      <c r="A27" s="2" t="s">
        <v>471</v>
      </c>
      <c r="B27" s="253"/>
      <c r="C27" s="138" t="s">
        <v>472</v>
      </c>
      <c r="D27" s="254"/>
      <c r="E27" s="141">
        <f>2780.7+397.74</f>
        <v>3178.4399999999996</v>
      </c>
      <c r="F27" s="132"/>
      <c r="G27" s="132"/>
    </row>
    <row r="28" spans="1:7" ht="15.75">
      <c r="A28" s="2" t="s">
        <v>473</v>
      </c>
      <c r="B28" s="253"/>
      <c r="C28" s="138" t="s">
        <v>474</v>
      </c>
      <c r="D28" s="254"/>
      <c r="E28" s="141">
        <f>5467.5+588.02+546.75</f>
        <v>6602.27</v>
      </c>
      <c r="F28" s="132"/>
      <c r="G28" s="132"/>
    </row>
    <row r="29" spans="1:7" ht="31.5">
      <c r="A29" s="2" t="s">
        <v>475</v>
      </c>
      <c r="B29" s="147" t="s">
        <v>476</v>
      </c>
      <c r="C29" s="50" t="s">
        <v>477</v>
      </c>
      <c r="D29" s="254"/>
      <c r="E29" s="141">
        <f>15135.7-700-1324.4-6100.6</f>
        <v>7010.700000000001</v>
      </c>
      <c r="F29" s="144"/>
      <c r="G29" s="132"/>
    </row>
    <row r="30" spans="1:7" ht="78.75">
      <c r="A30" s="2" t="s">
        <v>478</v>
      </c>
      <c r="B30" s="148" t="s">
        <v>479</v>
      </c>
      <c r="C30" s="50" t="s">
        <v>185</v>
      </c>
      <c r="D30" s="3" t="s">
        <v>480</v>
      </c>
      <c r="E30" s="141">
        <f>11410+649.2-342-0.1</f>
        <v>11717.1</v>
      </c>
      <c r="F30" s="132"/>
      <c r="G30" s="132"/>
    </row>
    <row r="31" spans="1:7" ht="47.25">
      <c r="A31" s="149" t="s">
        <v>481</v>
      </c>
      <c r="B31" s="253" t="s">
        <v>476</v>
      </c>
      <c r="C31" s="150" t="s">
        <v>482</v>
      </c>
      <c r="D31" s="151"/>
      <c r="E31" s="141">
        <v>200</v>
      </c>
      <c r="F31" s="132"/>
      <c r="G31" s="132"/>
    </row>
    <row r="32" spans="1:7" ht="31.5">
      <c r="A32" s="149" t="s">
        <v>483</v>
      </c>
      <c r="B32" s="253"/>
      <c r="C32" s="150" t="s">
        <v>484</v>
      </c>
      <c r="D32" s="3" t="s">
        <v>485</v>
      </c>
      <c r="E32" s="141">
        <f>90-90</f>
        <v>0</v>
      </c>
      <c r="F32" s="132"/>
      <c r="G32" s="132"/>
    </row>
    <row r="33" spans="1:7" ht="31.5">
      <c r="A33" s="149" t="s">
        <v>486</v>
      </c>
      <c r="B33" s="253"/>
      <c r="C33" s="150" t="s">
        <v>487</v>
      </c>
      <c r="D33" s="151" t="s">
        <v>488</v>
      </c>
      <c r="E33" s="141">
        <v>30</v>
      </c>
      <c r="F33" s="132"/>
      <c r="G33" s="132"/>
    </row>
    <row r="34" spans="1:7" ht="63">
      <c r="A34" s="149" t="s">
        <v>489</v>
      </c>
      <c r="B34" s="253"/>
      <c r="C34" s="186" t="s">
        <v>555</v>
      </c>
      <c r="D34" s="151"/>
      <c r="E34" s="141">
        <f>2035.3+50000+15866.9-8610.8-9478.4-500-8771.9-1638-70-500-50-79.37</f>
        <v>38203.72999999999</v>
      </c>
      <c r="F34" s="132"/>
      <c r="G34" s="132"/>
    </row>
    <row r="35" spans="1:7" ht="47.25">
      <c r="A35" s="149" t="s">
        <v>490</v>
      </c>
      <c r="B35" s="253"/>
      <c r="C35" s="150" t="s">
        <v>491</v>
      </c>
      <c r="D35" s="151" t="s">
        <v>492</v>
      </c>
      <c r="E35" s="141">
        <v>200</v>
      </c>
      <c r="F35" s="132"/>
      <c r="G35" s="132"/>
    </row>
    <row r="36" spans="1:7" ht="15.75">
      <c r="A36" s="149" t="s">
        <v>556</v>
      </c>
      <c r="B36" s="253"/>
      <c r="C36" s="150" t="s">
        <v>557</v>
      </c>
      <c r="D36" s="151"/>
      <c r="E36" s="141">
        <v>200</v>
      </c>
      <c r="F36" s="132"/>
      <c r="G36" s="132"/>
    </row>
    <row r="37" spans="1:7" ht="51" customHeight="1">
      <c r="A37" s="249" t="s">
        <v>187</v>
      </c>
      <c r="B37" s="249"/>
      <c r="C37" s="249"/>
      <c r="D37" s="152"/>
      <c r="E37" s="141">
        <f>E38+E39</f>
        <v>11997.9606</v>
      </c>
      <c r="F37" s="132"/>
      <c r="G37" s="132"/>
    </row>
    <row r="38" spans="1:7" ht="78.75">
      <c r="A38" s="2" t="s">
        <v>493</v>
      </c>
      <c r="B38" s="153" t="s">
        <v>494</v>
      </c>
      <c r="C38" s="50" t="s">
        <v>495</v>
      </c>
      <c r="D38" s="152"/>
      <c r="E38" s="141">
        <f>800+4500-331.7294</f>
        <v>4968.2706</v>
      </c>
      <c r="F38" s="132"/>
      <c r="G38" s="132"/>
    </row>
    <row r="39" spans="1:7" ht="31.5">
      <c r="A39" s="2" t="s">
        <v>496</v>
      </c>
      <c r="B39" s="1" t="s">
        <v>497</v>
      </c>
      <c r="C39" s="50" t="s">
        <v>498</v>
      </c>
      <c r="D39" s="152"/>
      <c r="E39" s="141">
        <f>2759.13+2962.46+1308.1</f>
        <v>7029.6900000000005</v>
      </c>
      <c r="F39" s="132"/>
      <c r="G39" s="132"/>
    </row>
    <row r="40" spans="1:7" ht="15.75">
      <c r="A40" s="249" t="s">
        <v>200</v>
      </c>
      <c r="B40" s="249"/>
      <c r="C40" s="249"/>
      <c r="D40" s="152"/>
      <c r="E40" s="141">
        <f>E41</f>
        <v>261</v>
      </c>
      <c r="F40" s="132"/>
      <c r="G40" s="132"/>
    </row>
    <row r="41" spans="1:7" ht="47.25">
      <c r="A41" s="154" t="s">
        <v>499</v>
      </c>
      <c r="B41" s="155" t="s">
        <v>500</v>
      </c>
      <c r="C41" s="50" t="s">
        <v>208</v>
      </c>
      <c r="D41" s="56"/>
      <c r="E41" s="156">
        <f>214+47</f>
        <v>261</v>
      </c>
      <c r="F41" s="132"/>
      <c r="G41" s="132"/>
    </row>
    <row r="42" spans="1:7" ht="15.75">
      <c r="A42" s="255" t="s">
        <v>210</v>
      </c>
      <c r="B42" s="255"/>
      <c r="C42" s="255"/>
      <c r="D42" s="143" t="s">
        <v>501</v>
      </c>
      <c r="E42" s="139">
        <f>E43</f>
        <v>200</v>
      </c>
      <c r="F42" s="132"/>
      <c r="G42" s="132"/>
    </row>
    <row r="43" spans="1:7" ht="63">
      <c r="A43" s="2" t="s">
        <v>502</v>
      </c>
      <c r="B43" s="148" t="s">
        <v>503</v>
      </c>
      <c r="C43" s="157" t="s">
        <v>504</v>
      </c>
      <c r="D43" s="158" t="s">
        <v>468</v>
      </c>
      <c r="E43" s="159">
        <v>200</v>
      </c>
      <c r="F43" s="132"/>
      <c r="G43" s="132"/>
    </row>
    <row r="44" spans="1:7" ht="15.75">
      <c r="A44" s="256" t="s">
        <v>215</v>
      </c>
      <c r="B44" s="256"/>
      <c r="C44" s="256"/>
      <c r="D44" s="160" t="s">
        <v>505</v>
      </c>
      <c r="E44" s="139">
        <f>E45+E62+E74</f>
        <v>206042.16096</v>
      </c>
      <c r="F44" s="132"/>
      <c r="G44" s="132"/>
    </row>
    <row r="45" spans="1:7" ht="15.75">
      <c r="A45" s="257" t="s">
        <v>217</v>
      </c>
      <c r="B45" s="257"/>
      <c r="C45" s="257"/>
      <c r="D45" s="160" t="s">
        <v>506</v>
      </c>
      <c r="E45" s="139">
        <f>E46+E47+E48+E50</f>
        <v>77326.69151</v>
      </c>
      <c r="F45" s="132"/>
      <c r="G45" s="132"/>
    </row>
    <row r="46" spans="1:7" ht="31.5">
      <c r="A46" s="258" t="s">
        <v>507</v>
      </c>
      <c r="B46" s="43" t="s">
        <v>508</v>
      </c>
      <c r="C46" s="259" t="s">
        <v>509</v>
      </c>
      <c r="D46" s="138"/>
      <c r="E46" s="161">
        <f>42956.33202+27997.62151-10776.21647</f>
        <v>60177.73706</v>
      </c>
      <c r="F46" s="132"/>
      <c r="G46" s="132"/>
    </row>
    <row r="47" spans="1:7" ht="31.5">
      <c r="A47" s="258"/>
      <c r="B47" s="43" t="s">
        <v>510</v>
      </c>
      <c r="C47" s="259"/>
      <c r="D47" s="138"/>
      <c r="E47" s="161">
        <f>7000-5000</f>
        <v>2000</v>
      </c>
      <c r="F47" s="132"/>
      <c r="G47" s="132"/>
    </row>
    <row r="48" spans="1:7" ht="15.75">
      <c r="A48" s="255" t="s">
        <v>145</v>
      </c>
      <c r="B48" s="255"/>
      <c r="C48" s="255"/>
      <c r="D48" s="138"/>
      <c r="E48" s="161">
        <f>E49</f>
        <v>130</v>
      </c>
      <c r="F48" s="132"/>
      <c r="G48" s="132"/>
    </row>
    <row r="49" spans="1:7" ht="31.5">
      <c r="A49" s="2" t="s">
        <v>511</v>
      </c>
      <c r="B49" s="2" t="s">
        <v>512</v>
      </c>
      <c r="C49" s="162" t="s">
        <v>245</v>
      </c>
      <c r="D49" s="138"/>
      <c r="E49" s="163">
        <f>150-20</f>
        <v>130</v>
      </c>
      <c r="F49" s="132"/>
      <c r="G49" s="132"/>
    </row>
    <row r="50" spans="1:7" ht="15.75">
      <c r="A50" s="260" t="s">
        <v>187</v>
      </c>
      <c r="B50" s="260"/>
      <c r="C50" s="260"/>
      <c r="D50" s="138"/>
      <c r="E50" s="163">
        <f>SUM(E51:E61)</f>
        <v>15018.954450000001</v>
      </c>
      <c r="F50" s="132"/>
      <c r="G50" s="132"/>
    </row>
    <row r="51" spans="1:7" ht="31.5">
      <c r="A51" s="2" t="s">
        <v>513</v>
      </c>
      <c r="B51" s="43" t="s">
        <v>514</v>
      </c>
      <c r="C51" s="138" t="s">
        <v>515</v>
      </c>
      <c r="D51" s="138"/>
      <c r="E51" s="161">
        <v>4500</v>
      </c>
      <c r="F51" s="132"/>
      <c r="G51" s="132"/>
    </row>
    <row r="52" spans="1:7" ht="31.5">
      <c r="A52" s="2" t="s">
        <v>516</v>
      </c>
      <c r="B52" s="43" t="s">
        <v>517</v>
      </c>
      <c r="C52" s="138" t="s">
        <v>518</v>
      </c>
      <c r="D52" s="138"/>
      <c r="E52" s="161">
        <f>1800+750</f>
        <v>2550</v>
      </c>
      <c r="F52" s="132"/>
      <c r="G52" s="132"/>
    </row>
    <row r="53" spans="1:7" ht="63">
      <c r="A53" s="2" t="s">
        <v>519</v>
      </c>
      <c r="B53" s="164" t="s">
        <v>514</v>
      </c>
      <c r="C53" s="138" t="s">
        <v>520</v>
      </c>
      <c r="D53" s="165" t="s">
        <v>521</v>
      </c>
      <c r="E53" s="166">
        <v>700</v>
      </c>
      <c r="F53" s="132"/>
      <c r="G53" s="132"/>
    </row>
    <row r="54" spans="1:7" ht="15.75">
      <c r="A54" s="258" t="s">
        <v>522</v>
      </c>
      <c r="B54" s="261" t="s">
        <v>523</v>
      </c>
      <c r="C54" s="262" t="s">
        <v>524</v>
      </c>
      <c r="D54" s="167"/>
      <c r="E54" s="166">
        <v>295.76</v>
      </c>
      <c r="F54" s="132"/>
      <c r="G54" s="132"/>
    </row>
    <row r="55" spans="1:7" ht="15.75">
      <c r="A55" s="258"/>
      <c r="B55" s="261"/>
      <c r="C55" s="262"/>
      <c r="D55" s="167"/>
      <c r="E55" s="166">
        <v>64.48</v>
      </c>
      <c r="F55" s="132"/>
      <c r="G55" s="132"/>
    </row>
    <row r="56" spans="1:7" ht="15.75">
      <c r="A56" s="2" t="s">
        <v>525</v>
      </c>
      <c r="B56" s="263" t="s">
        <v>526</v>
      </c>
      <c r="C56" s="150" t="s">
        <v>527</v>
      </c>
      <c r="D56" s="167"/>
      <c r="E56" s="166">
        <f>2000+135</f>
        <v>2135</v>
      </c>
      <c r="F56" s="132"/>
      <c r="G56" s="132"/>
    </row>
    <row r="57" spans="1:7" ht="141.75">
      <c r="A57" s="2" t="s">
        <v>528</v>
      </c>
      <c r="B57" s="263"/>
      <c r="C57" s="150" t="s">
        <v>568</v>
      </c>
      <c r="D57" s="167" t="s">
        <v>529</v>
      </c>
      <c r="E57" s="166">
        <v>42.08385</v>
      </c>
      <c r="F57" s="132"/>
      <c r="G57" s="132"/>
    </row>
    <row r="58" spans="1:7" ht="47.25">
      <c r="A58" s="2" t="s">
        <v>6</v>
      </c>
      <c r="B58" s="263"/>
      <c r="C58" s="197" t="s">
        <v>7</v>
      </c>
      <c r="D58" s="167" t="s">
        <v>5</v>
      </c>
      <c r="E58" s="166">
        <v>776.9306</v>
      </c>
      <c r="F58" s="132"/>
      <c r="G58" s="132"/>
    </row>
    <row r="59" spans="1:7" ht="47.25">
      <c r="A59" s="2" t="s">
        <v>569</v>
      </c>
      <c r="B59" s="263"/>
      <c r="C59" s="150" t="s">
        <v>572</v>
      </c>
      <c r="D59" s="167" t="s">
        <v>573</v>
      </c>
      <c r="E59" s="166">
        <v>2282.1</v>
      </c>
      <c r="F59" s="132"/>
      <c r="G59" s="132"/>
    </row>
    <row r="60" spans="1:7" ht="47.25">
      <c r="A60" s="2" t="s">
        <v>570</v>
      </c>
      <c r="B60" s="263"/>
      <c r="C60" s="150" t="s">
        <v>572</v>
      </c>
      <c r="D60" s="167" t="s">
        <v>574</v>
      </c>
      <c r="E60" s="166">
        <v>1043.6</v>
      </c>
      <c r="F60" s="132"/>
      <c r="G60" s="132"/>
    </row>
    <row r="61" spans="1:7" ht="47.25">
      <c r="A61" s="2" t="s">
        <v>571</v>
      </c>
      <c r="B61" s="263"/>
      <c r="C61" s="150" t="s">
        <v>572</v>
      </c>
      <c r="D61" s="167" t="s">
        <v>575</v>
      </c>
      <c r="E61" s="166">
        <v>629</v>
      </c>
      <c r="F61" s="132"/>
      <c r="G61" s="132"/>
    </row>
    <row r="62" spans="1:7" ht="15.75">
      <c r="A62" s="257" t="s">
        <v>247</v>
      </c>
      <c r="B62" s="257"/>
      <c r="C62" s="257"/>
      <c r="D62" s="160" t="s">
        <v>530</v>
      </c>
      <c r="E62" s="139">
        <f>SUM(E63:E73)</f>
        <v>48159.414000000004</v>
      </c>
      <c r="F62" s="144"/>
      <c r="G62" s="132"/>
    </row>
    <row r="63" spans="1:7" ht="63">
      <c r="A63" s="2" t="s">
        <v>531</v>
      </c>
      <c r="B63" s="261" t="s">
        <v>532</v>
      </c>
      <c r="C63" s="56" t="s">
        <v>533</v>
      </c>
      <c r="D63" s="4" t="s">
        <v>534</v>
      </c>
      <c r="E63" s="141">
        <v>1387.6</v>
      </c>
      <c r="F63" s="132"/>
      <c r="G63" s="132"/>
    </row>
    <row r="64" spans="1:7" ht="15.75">
      <c r="A64" s="2" t="s">
        <v>535</v>
      </c>
      <c r="B64" s="261"/>
      <c r="C64" s="56" t="s">
        <v>536</v>
      </c>
      <c r="D64" s="168" t="s">
        <v>537</v>
      </c>
      <c r="E64" s="141">
        <f>150-90</f>
        <v>60</v>
      </c>
      <c r="F64" s="169"/>
      <c r="G64" s="132"/>
    </row>
    <row r="65" spans="1:7" ht="15.75">
      <c r="A65" s="2" t="s">
        <v>538</v>
      </c>
      <c r="B65" s="261"/>
      <c r="C65" s="56" t="s">
        <v>539</v>
      </c>
      <c r="D65" s="168" t="s">
        <v>537</v>
      </c>
      <c r="E65" s="141">
        <f>1836.5-580</f>
        <v>1256.5</v>
      </c>
      <c r="F65" s="169"/>
      <c r="G65" s="132"/>
    </row>
    <row r="66" spans="1:7" ht="15.75">
      <c r="A66" s="2" t="s">
        <v>540</v>
      </c>
      <c r="B66" s="261"/>
      <c r="C66" s="56" t="s">
        <v>541</v>
      </c>
      <c r="D66" s="168" t="s">
        <v>542</v>
      </c>
      <c r="E66" s="141">
        <f>335.714-80</f>
        <v>255.714</v>
      </c>
      <c r="F66" s="169"/>
      <c r="G66" s="132"/>
    </row>
    <row r="67" spans="1:7" ht="31.5">
      <c r="A67" s="2" t="s">
        <v>543</v>
      </c>
      <c r="B67" s="261"/>
      <c r="C67" s="138" t="s">
        <v>544</v>
      </c>
      <c r="D67" s="170"/>
      <c r="E67" s="141">
        <f>5478.2+1220.9+1676.2</f>
        <v>8375.300000000001</v>
      </c>
      <c r="F67" s="132"/>
      <c r="G67" s="132"/>
    </row>
    <row r="68" spans="1:7" ht="15.75">
      <c r="A68" s="2" t="s">
        <v>545</v>
      </c>
      <c r="B68" s="261"/>
      <c r="C68" s="138" t="s">
        <v>546</v>
      </c>
      <c r="D68" s="170"/>
      <c r="E68" s="141">
        <f>600+200</f>
        <v>800</v>
      </c>
      <c r="F68" s="132"/>
      <c r="G68" s="132"/>
    </row>
    <row r="69" spans="1:7" ht="110.25">
      <c r="A69" s="2" t="s">
        <v>551</v>
      </c>
      <c r="B69" s="14" t="s">
        <v>552</v>
      </c>
      <c r="C69" s="15" t="s">
        <v>549</v>
      </c>
      <c r="D69" s="170"/>
      <c r="E69" s="141">
        <f>10000+13500</f>
        <v>23500</v>
      </c>
      <c r="F69" s="132"/>
      <c r="G69" s="132"/>
    </row>
    <row r="70" spans="1:7" ht="31.5">
      <c r="A70" s="192" t="s">
        <v>553</v>
      </c>
      <c r="B70" s="14" t="s">
        <v>532</v>
      </c>
      <c r="C70" s="193" t="s">
        <v>554</v>
      </c>
      <c r="D70" s="170"/>
      <c r="E70" s="141">
        <v>1000</v>
      </c>
      <c r="F70" s="132"/>
      <c r="G70" s="132"/>
    </row>
    <row r="71" spans="1:7" ht="31.5">
      <c r="A71" s="192" t="s">
        <v>558</v>
      </c>
      <c r="B71" s="14" t="s">
        <v>532</v>
      </c>
      <c r="C71" s="193" t="s">
        <v>559</v>
      </c>
      <c r="D71" s="170"/>
      <c r="E71" s="141">
        <v>1424.3</v>
      </c>
      <c r="F71" s="132"/>
      <c r="G71" s="132"/>
    </row>
    <row r="72" spans="1:7" ht="90">
      <c r="A72" s="192" t="s">
        <v>582</v>
      </c>
      <c r="B72" s="233" t="s">
        <v>583</v>
      </c>
      <c r="C72" s="202" t="s">
        <v>585</v>
      </c>
      <c r="D72" s="170"/>
      <c r="E72" s="141">
        <v>6100</v>
      </c>
      <c r="F72" s="132"/>
      <c r="G72" s="132"/>
    </row>
    <row r="73" spans="1:7" ht="90">
      <c r="A73" s="192" t="s">
        <v>587</v>
      </c>
      <c r="B73" s="234"/>
      <c r="C73" s="202" t="s">
        <v>586</v>
      </c>
      <c r="D73" s="170"/>
      <c r="E73" s="141">
        <v>4000</v>
      </c>
      <c r="F73" s="132"/>
      <c r="G73" s="132"/>
    </row>
    <row r="74" spans="1:14" s="9" customFormat="1" ht="15" customHeight="1">
      <c r="A74" s="252" t="s">
        <v>252</v>
      </c>
      <c r="B74" s="252"/>
      <c r="C74" s="252"/>
      <c r="D74" s="143" t="s">
        <v>547</v>
      </c>
      <c r="E74" s="145">
        <f>E76+E81+E96+E98</f>
        <v>80556.05544999999</v>
      </c>
      <c r="H74" s="132"/>
      <c r="I74" s="132"/>
      <c r="J74" s="132"/>
      <c r="K74" s="132"/>
      <c r="L74" s="132"/>
      <c r="M74" s="132"/>
      <c r="N74" s="132"/>
    </row>
    <row r="75" spans="1:5" ht="50.25" customHeight="1">
      <c r="A75" s="260" t="s">
        <v>187</v>
      </c>
      <c r="B75" s="260"/>
      <c r="C75" s="260"/>
      <c r="D75" s="174"/>
      <c r="E75" s="175"/>
    </row>
    <row r="76" spans="1:5" ht="16.5" customHeight="1">
      <c r="A76" s="264" t="s">
        <v>403</v>
      </c>
      <c r="B76" s="264"/>
      <c r="C76" s="264"/>
      <c r="D76" s="174"/>
      <c r="E76" s="175">
        <f>SUM(E77:E80)</f>
        <v>29281.7958</v>
      </c>
    </row>
    <row r="77" spans="1:5" ht="81" customHeight="1">
      <c r="A77" s="2" t="s">
        <v>10</v>
      </c>
      <c r="B77" s="2" t="s">
        <v>11</v>
      </c>
      <c r="C77" s="50" t="s">
        <v>8</v>
      </c>
      <c r="D77" s="173"/>
      <c r="E77" s="175">
        <f>15293.4+1324.4+830+425.0838+89.2+500</f>
        <v>18462.0838</v>
      </c>
    </row>
    <row r="78" spans="1:5" ht="79.5" customHeight="1">
      <c r="A78" s="2" t="s">
        <v>12</v>
      </c>
      <c r="B78" s="2" t="s">
        <v>13</v>
      </c>
      <c r="C78" s="50" t="s">
        <v>8</v>
      </c>
      <c r="D78" s="174"/>
      <c r="E78" s="175">
        <v>5658.2</v>
      </c>
    </row>
    <row r="79" spans="1:5" ht="16.5" customHeight="1">
      <c r="A79" s="2" t="s">
        <v>14</v>
      </c>
      <c r="B79" s="2" t="s">
        <v>15</v>
      </c>
      <c r="C79" s="138" t="s">
        <v>16</v>
      </c>
      <c r="D79" s="174"/>
      <c r="E79" s="175">
        <f>4236.6+409.732+415.18</f>
        <v>5061.512000000001</v>
      </c>
    </row>
    <row r="80" spans="1:5" ht="33" customHeight="1">
      <c r="A80" s="2" t="s">
        <v>17</v>
      </c>
      <c r="B80" s="2" t="s">
        <v>18</v>
      </c>
      <c r="C80" s="50" t="s">
        <v>268</v>
      </c>
      <c r="D80" s="174"/>
      <c r="E80" s="175">
        <v>100</v>
      </c>
    </row>
    <row r="81" spans="1:5" ht="16.5" customHeight="1">
      <c r="A81" s="252" t="s">
        <v>405</v>
      </c>
      <c r="B81" s="252"/>
      <c r="C81" s="252"/>
      <c r="D81" s="252"/>
      <c r="E81" s="176">
        <f>SUM(E82:E95)</f>
        <v>21184.17965</v>
      </c>
    </row>
    <row r="82" spans="1:5" ht="42.75" customHeight="1">
      <c r="A82" s="2" t="s">
        <v>19</v>
      </c>
      <c r="B82" s="2" t="s">
        <v>20</v>
      </c>
      <c r="C82" s="138" t="s">
        <v>272</v>
      </c>
      <c r="D82" s="266" t="s">
        <v>468</v>
      </c>
      <c r="E82" s="175">
        <f>4513-180.5</f>
        <v>4332.5</v>
      </c>
    </row>
    <row r="83" spans="1:5" ht="37.5" customHeight="1">
      <c r="A83" s="2" t="s">
        <v>21</v>
      </c>
      <c r="B83" s="2" t="s">
        <v>22</v>
      </c>
      <c r="C83" s="138" t="s">
        <v>548</v>
      </c>
      <c r="D83" s="266"/>
      <c r="E83" s="175">
        <f>4000+180.5+15.7+2000+25</f>
        <v>6221.2</v>
      </c>
    </row>
    <row r="84" spans="1:5" ht="65.25" customHeight="1">
      <c r="A84" s="2" t="s">
        <v>23</v>
      </c>
      <c r="B84" s="4" t="s">
        <v>24</v>
      </c>
      <c r="C84" s="18" t="s">
        <v>277</v>
      </c>
      <c r="D84" s="177"/>
      <c r="E84" s="156">
        <f>6513.83+1420.19-86.9</f>
        <v>7847.120000000001</v>
      </c>
    </row>
    <row r="85" spans="1:5" ht="65.25" customHeight="1">
      <c r="A85" s="149" t="s">
        <v>25</v>
      </c>
      <c r="B85" s="267" t="s">
        <v>26</v>
      </c>
      <c r="C85" s="178" t="s">
        <v>27</v>
      </c>
      <c r="D85" s="179" t="s">
        <v>28</v>
      </c>
      <c r="E85" s="180">
        <v>195.6</v>
      </c>
    </row>
    <row r="86" spans="1:5" ht="16.5" customHeight="1">
      <c r="A86" s="149" t="s">
        <v>29</v>
      </c>
      <c r="B86" s="267"/>
      <c r="C86" s="181" t="s">
        <v>30</v>
      </c>
      <c r="D86" s="3" t="s">
        <v>31</v>
      </c>
      <c r="E86" s="182">
        <f>470.4-70.4</f>
        <v>400</v>
      </c>
    </row>
    <row r="87" spans="1:5" ht="16.5" customHeight="1">
      <c r="A87" s="149" t="s">
        <v>32</v>
      </c>
      <c r="B87" s="267"/>
      <c r="C87" s="138" t="s">
        <v>33</v>
      </c>
      <c r="D87" s="183"/>
      <c r="E87" s="182">
        <v>110.2</v>
      </c>
    </row>
    <row r="88" spans="1:5" ht="53.25" customHeight="1">
      <c r="A88" s="149" t="s">
        <v>34</v>
      </c>
      <c r="B88" s="267"/>
      <c r="C88" s="184" t="s">
        <v>35</v>
      </c>
      <c r="D88" s="177" t="s">
        <v>36</v>
      </c>
      <c r="E88" s="166">
        <v>306.4</v>
      </c>
    </row>
    <row r="89" spans="1:5" ht="38.25" customHeight="1">
      <c r="A89" s="149" t="s">
        <v>37</v>
      </c>
      <c r="B89" s="267"/>
      <c r="C89" s="138" t="s">
        <v>30</v>
      </c>
      <c r="D89" s="3" t="s">
        <v>38</v>
      </c>
      <c r="E89" s="166">
        <v>193.6</v>
      </c>
    </row>
    <row r="90" spans="1:5" ht="30.75" customHeight="1">
      <c r="A90" s="149" t="s">
        <v>39</v>
      </c>
      <c r="B90" s="267"/>
      <c r="C90" s="138" t="s">
        <v>40</v>
      </c>
      <c r="D90" s="3"/>
      <c r="E90" s="166">
        <f>48.1+45</f>
        <v>93.1</v>
      </c>
    </row>
    <row r="91" spans="1:5" ht="47.25">
      <c r="A91" s="149" t="s">
        <v>41</v>
      </c>
      <c r="B91" s="267"/>
      <c r="C91" s="138" t="s">
        <v>42</v>
      </c>
      <c r="D91" s="183"/>
      <c r="E91" s="166">
        <v>450.13025</v>
      </c>
    </row>
    <row r="92" spans="1:5" ht="47.25">
      <c r="A92" s="149" t="s">
        <v>43</v>
      </c>
      <c r="B92" s="267"/>
      <c r="C92" s="173" t="s">
        <v>1</v>
      </c>
      <c r="D92" s="171" t="s">
        <v>2</v>
      </c>
      <c r="E92" s="194">
        <v>331.7294</v>
      </c>
    </row>
    <row r="93" spans="1:5" ht="39.75" customHeight="1">
      <c r="A93" s="149" t="s">
        <v>0</v>
      </c>
      <c r="B93" s="268"/>
      <c r="C93" s="195" t="s">
        <v>4</v>
      </c>
      <c r="D93" s="198" t="s">
        <v>3</v>
      </c>
      <c r="E93" s="196">
        <v>110.8</v>
      </c>
    </row>
    <row r="94" spans="1:5" ht="47.25">
      <c r="A94" s="149" t="s">
        <v>560</v>
      </c>
      <c r="B94" s="268"/>
      <c r="C94" s="195" t="s">
        <v>579</v>
      </c>
      <c r="D94" s="198" t="s">
        <v>561</v>
      </c>
      <c r="E94" s="196">
        <v>403.4</v>
      </c>
    </row>
    <row r="95" spans="1:5" ht="47.25">
      <c r="A95" s="149" t="s">
        <v>565</v>
      </c>
      <c r="B95" s="268"/>
      <c r="C95" s="195" t="s">
        <v>566</v>
      </c>
      <c r="D95" s="198" t="s">
        <v>567</v>
      </c>
      <c r="E95" s="196">
        <v>188.4</v>
      </c>
    </row>
    <row r="96" spans="1:5" ht="15" customHeight="1">
      <c r="A96" s="257" t="s">
        <v>411</v>
      </c>
      <c r="B96" s="257"/>
      <c r="C96" s="269"/>
      <c r="D96" s="269"/>
      <c r="E96" s="182">
        <f>E97</f>
        <v>8265.2</v>
      </c>
    </row>
    <row r="97" spans="1:5" ht="63">
      <c r="A97" s="2" t="s">
        <v>43</v>
      </c>
      <c r="B97" s="2" t="s">
        <v>44</v>
      </c>
      <c r="C97" s="39" t="s">
        <v>285</v>
      </c>
      <c r="D97" s="172"/>
      <c r="E97" s="175">
        <f>10972.2-2907+200</f>
        <v>8265.2</v>
      </c>
    </row>
    <row r="98" spans="1:5" ht="15" customHeight="1">
      <c r="A98" s="257" t="s">
        <v>45</v>
      </c>
      <c r="B98" s="257"/>
      <c r="C98" s="257"/>
      <c r="D98" s="257"/>
      <c r="E98" s="175">
        <f>SUM(E99:E108)</f>
        <v>21824.879999999997</v>
      </c>
    </row>
    <row r="99" spans="1:5" ht="47.25">
      <c r="A99" s="2" t="s">
        <v>46</v>
      </c>
      <c r="B99" s="2" t="s">
        <v>47</v>
      </c>
      <c r="C99" s="138" t="s">
        <v>9</v>
      </c>
      <c r="D99" s="138"/>
      <c r="E99" s="175">
        <f>2400-2000</f>
        <v>400</v>
      </c>
    </row>
    <row r="100" spans="1:5" ht="47.25">
      <c r="A100" s="185" t="s">
        <v>48</v>
      </c>
      <c r="B100" s="253" t="s">
        <v>47</v>
      </c>
      <c r="C100" s="138" t="s">
        <v>291</v>
      </c>
      <c r="D100" s="138"/>
      <c r="E100" s="175">
        <f>5673.79+1237-6910.8</f>
        <v>-0.010000000000218279</v>
      </c>
    </row>
    <row r="101" spans="1:5" ht="15.75">
      <c r="A101" s="2" t="s">
        <v>49</v>
      </c>
      <c r="B101" s="253"/>
      <c r="C101" s="172" t="s">
        <v>50</v>
      </c>
      <c r="D101" s="138"/>
      <c r="E101" s="175">
        <f>750-153-200</f>
        <v>397</v>
      </c>
    </row>
    <row r="102" spans="1:5" ht="47.25">
      <c r="A102" s="2" t="s">
        <v>51</v>
      </c>
      <c r="B102" s="253"/>
      <c r="C102" s="138" t="s">
        <v>52</v>
      </c>
      <c r="D102" s="138"/>
      <c r="E102" s="175">
        <f>290+80</f>
        <v>370</v>
      </c>
    </row>
    <row r="103" spans="1:5" ht="47.25">
      <c r="A103" s="2" t="s">
        <v>53</v>
      </c>
      <c r="B103" s="253"/>
      <c r="C103" s="138" t="s">
        <v>54</v>
      </c>
      <c r="D103" s="138"/>
      <c r="E103" s="175">
        <v>550</v>
      </c>
    </row>
    <row r="104" spans="1:5" ht="15.75">
      <c r="A104" s="2" t="s">
        <v>55</v>
      </c>
      <c r="B104" s="253"/>
      <c r="C104" s="50" t="s">
        <v>56</v>
      </c>
      <c r="D104" s="138"/>
      <c r="E104" s="175">
        <f>11300-3200-7000+1200+2000+1000+500</f>
        <v>5800</v>
      </c>
    </row>
    <row r="105" spans="1:5" ht="31.5">
      <c r="A105" s="2" t="s">
        <v>57</v>
      </c>
      <c r="B105" s="253"/>
      <c r="C105" s="186" t="s">
        <v>58</v>
      </c>
      <c r="D105" s="138"/>
      <c r="E105" s="175">
        <f>10000+3200+153</f>
        <v>13353</v>
      </c>
    </row>
    <row r="106" spans="1:5" ht="31.5">
      <c r="A106" s="2" t="s">
        <v>59</v>
      </c>
      <c r="B106" s="253"/>
      <c r="C106" s="186" t="s">
        <v>60</v>
      </c>
      <c r="D106" s="138" t="s">
        <v>61</v>
      </c>
      <c r="E106" s="175">
        <f>1000-1000</f>
        <v>0</v>
      </c>
    </row>
    <row r="107" spans="1:5" ht="31.5">
      <c r="A107" s="2" t="s">
        <v>62</v>
      </c>
      <c r="B107" s="4" t="s">
        <v>602</v>
      </c>
      <c r="C107" s="50" t="s">
        <v>63</v>
      </c>
      <c r="D107" s="138"/>
      <c r="E107" s="175">
        <v>77.89</v>
      </c>
    </row>
    <row r="108" spans="1:5" ht="63">
      <c r="A108" s="2" t="s">
        <v>577</v>
      </c>
      <c r="B108" s="2" t="s">
        <v>47</v>
      </c>
      <c r="C108" s="50" t="s">
        <v>578</v>
      </c>
      <c r="D108" s="138" t="s">
        <v>468</v>
      </c>
      <c r="E108" s="175">
        <v>877</v>
      </c>
    </row>
    <row r="109" spans="1:5" ht="15" customHeight="1">
      <c r="A109" s="265" t="s">
        <v>64</v>
      </c>
      <c r="B109" s="265"/>
      <c r="C109" s="265"/>
      <c r="D109" s="187"/>
      <c r="E109" s="188">
        <f>E44+E21+E15</f>
        <v>314591.23156</v>
      </c>
    </row>
  </sheetData>
  <sheetProtection selectLockedCells="1" selectUnlockedCells="1"/>
  <mergeCells count="35">
    <mergeCell ref="B100:B106"/>
    <mergeCell ref="A109:C109"/>
    <mergeCell ref="D82:D83"/>
    <mergeCell ref="B85:B95"/>
    <mergeCell ref="A96:D96"/>
    <mergeCell ref="A98:D98"/>
    <mergeCell ref="B56:B61"/>
    <mergeCell ref="A62:C62"/>
    <mergeCell ref="B63:B68"/>
    <mergeCell ref="A75:C75"/>
    <mergeCell ref="A76:C76"/>
    <mergeCell ref="A81:D81"/>
    <mergeCell ref="A46:A47"/>
    <mergeCell ref="C46:C47"/>
    <mergeCell ref="A48:C48"/>
    <mergeCell ref="A50:C50"/>
    <mergeCell ref="A54:A55"/>
    <mergeCell ref="B54:B55"/>
    <mergeCell ref="C54:C55"/>
    <mergeCell ref="A23:C23"/>
    <mergeCell ref="B25:B28"/>
    <mergeCell ref="D25:D29"/>
    <mergeCell ref="B31:B36"/>
    <mergeCell ref="A37:C37"/>
    <mergeCell ref="A74:C74"/>
    <mergeCell ref="A40:C40"/>
    <mergeCell ref="A42:C42"/>
    <mergeCell ref="A44:C44"/>
    <mergeCell ref="A45:C45"/>
    <mergeCell ref="A13:E13"/>
    <mergeCell ref="A15:C15"/>
    <mergeCell ref="A16:C16"/>
    <mergeCell ref="A17:A18"/>
    <mergeCell ref="A21:C21"/>
    <mergeCell ref="A22:C22"/>
  </mergeCells>
  <printOptions/>
  <pageMargins left="1.3779527559055118" right="0.3937007874015748" top="0.7874015748031497" bottom="0.7874015748031497" header="0.5118110236220472" footer="0.5118110236220472"/>
  <pageSetup fitToHeight="6" fitToWidth="1" horizontalDpi="300" verticalDpi="300" orientation="portrait" paperSize="9" scale="69" r:id="rId1"/>
  <headerFooter alignWithMargins="0">
    <oddFooter>&amp;L197/мз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Бахирева</cp:lastModifiedBy>
  <cp:lastPrinted>2019-12-26T09:42:30Z</cp:lastPrinted>
  <dcterms:created xsi:type="dcterms:W3CDTF">2019-07-16T06:32:32Z</dcterms:created>
  <dcterms:modified xsi:type="dcterms:W3CDTF">2020-01-09T10:30:47Z</dcterms:modified>
  <cp:category/>
  <cp:version/>
  <cp:contentType/>
  <cp:contentStatus/>
</cp:coreProperties>
</file>